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6626"/>
  <workbookPr defaultThemeVersion="166925"/>
  <bookViews>
    <workbookView xWindow="-108" yWindow="-108" windowWidth="23256" windowHeight="12456" activeTab="0"/>
  </bookViews>
  <sheets>
    <sheet name="الإفتراضات" sheetId="1" r:id="rId1"/>
    <sheet name="الإيرادات و التكاليف المباشرة" sheetId="2" r:id="rId2"/>
    <sheet name="قائمة الدخل" sheetId="3" r:id="rId3"/>
    <sheet name="قائمة التدفق النقدي" sheetId="4" r:id="rId4"/>
    <sheet name="الميزانية الختامية" sheetId="5" r:id="rId5"/>
    <sheet name="الملخص المالي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<sst xmlns="http://schemas.openxmlformats.org/spreadsheetml/2006/main" uniqueCount="117" count="117">
  <si>
    <t>الشهر</t>
  </si>
  <si>
    <t>سنة أولى</t>
  </si>
  <si>
    <t>سنة ثانية</t>
  </si>
  <si>
    <t>سنة ثالثة</t>
  </si>
  <si>
    <t>سنة رابعة</t>
  </si>
  <si>
    <t>سنة خامسة</t>
  </si>
  <si>
    <t>التكاليف المباشرة</t>
  </si>
  <si>
    <t>الكمية</t>
  </si>
  <si>
    <t>إيرادات المنتج/الخدمة 1</t>
  </si>
  <si>
    <t>إيرادات المنتج/الخدمة 2</t>
  </si>
  <si>
    <t>إيرادات المنتج/الخدمة 3</t>
  </si>
  <si>
    <t>إيرادات المنتج/الخدمة 4</t>
  </si>
  <si>
    <t>إيرادات المنتج/الخدمة 5</t>
  </si>
  <si>
    <t>إيرادات المنتج/الخدمة 6</t>
  </si>
  <si>
    <t>إيرادات المنتج/الخدمة 7</t>
  </si>
  <si>
    <t>إيرادات المنتج/الخدمة 8</t>
  </si>
  <si>
    <t>إيرادات المنتج/الخدمة 9</t>
  </si>
  <si>
    <t>إيرادات المنتج/الخدمة 10</t>
  </si>
  <si>
    <t>إجمالي الإيرادات</t>
  </si>
  <si>
    <t>5 سنوات</t>
  </si>
  <si>
    <t>سعر المبيع</t>
  </si>
  <si>
    <t>تكاليف المنتج/الخدمة 1</t>
  </si>
  <si>
    <t>سعر التكلفة</t>
  </si>
  <si>
    <t>إجمالي التكاليف</t>
  </si>
  <si>
    <t>تكاليف المنتج/الخدمة 2</t>
  </si>
  <si>
    <t>تكاليف المنتج/الخدمة 3</t>
  </si>
  <si>
    <t>تكاليف المنتج/الخدمة 4</t>
  </si>
  <si>
    <t>تكاليف المنتج/الخدمة 5</t>
  </si>
  <si>
    <t>تكاليف المنتج/الخدمة 6</t>
  </si>
  <si>
    <t>تكاليف المنتج/الخدمة 7</t>
  </si>
  <si>
    <t>تكاليف المنتج/الخدمة 8</t>
  </si>
  <si>
    <t>تكاليف المنتج/الخدمة 9</t>
  </si>
  <si>
    <t>تكاليف المنتج/الخدمة 10</t>
  </si>
  <si>
    <t>الربح المجمل</t>
  </si>
  <si>
    <t>الإيرادات</t>
  </si>
  <si>
    <t>الرواتب</t>
  </si>
  <si>
    <t>إيجار المقر</t>
  </si>
  <si>
    <t>الفواتير</t>
  </si>
  <si>
    <t>الدعاية و الإعلان</t>
  </si>
  <si>
    <t>إهتلاك المعدات</t>
  </si>
  <si>
    <t>مصاريف أخرى</t>
  </si>
  <si>
    <t>الربح الصافي قبل الضريبة</t>
  </si>
  <si>
    <t>الضريبة</t>
  </si>
  <si>
    <t>صافي الربح</t>
  </si>
  <si>
    <t>العملة</t>
  </si>
  <si>
    <t>التضخم السنوي</t>
  </si>
  <si>
    <t>العمر الإفتراضي للآلات</t>
  </si>
  <si>
    <t>سنوات</t>
  </si>
  <si>
    <t>قيمة الأصول الثابتة</t>
  </si>
  <si>
    <t>ضريبة الدخل</t>
  </si>
  <si>
    <t>صافي التدفق النقدي التشغيلي</t>
  </si>
  <si>
    <t>صافي التدفق النقدي الإستثماري</t>
  </si>
  <si>
    <t>صافي التدفق النقدي التمويلي</t>
  </si>
  <si>
    <t>التحصيلات النقدية</t>
  </si>
  <si>
    <t>الدعاية والإعلان</t>
  </si>
  <si>
    <t>الإستثمار الوارد</t>
  </si>
  <si>
    <t>القروض</t>
  </si>
  <si>
    <t>السداد</t>
  </si>
  <si>
    <t>صافي التدفق النقدي</t>
  </si>
  <si>
    <t>التدفق النقدي التراكمي</t>
  </si>
  <si>
    <t>الآلات والمعدات</t>
  </si>
  <si>
    <t>العائد على المبيعات ROS %</t>
  </si>
  <si>
    <t>نقطة التعادل</t>
  </si>
  <si>
    <t>فترة إسترداد رأس المال</t>
  </si>
  <si>
    <t>رأس المال المطلوب</t>
  </si>
  <si>
    <t>العائد السنوي على رأس المال ROI%</t>
  </si>
  <si>
    <t>شهور</t>
  </si>
  <si>
    <t>الأصول</t>
  </si>
  <si>
    <t>المطاليب</t>
  </si>
  <si>
    <t>النقدية</t>
  </si>
  <si>
    <t>المخزون</t>
  </si>
  <si>
    <t>رصيد العملاء</t>
  </si>
  <si>
    <t>الأصول الثابتة</t>
  </si>
  <si>
    <t>مخصصات الإهتلاك</t>
  </si>
  <si>
    <t>رصيد الموردين</t>
  </si>
  <si>
    <t>رصيد الرواتب</t>
  </si>
  <si>
    <t>رصيد الإيجار</t>
  </si>
  <si>
    <t>رصيد الفواتير</t>
  </si>
  <si>
    <t>رصيد الدعاية و الإعلان</t>
  </si>
  <si>
    <t>رأس المال</t>
  </si>
  <si>
    <t>نتيجة أعمال السنة الأولى</t>
  </si>
  <si>
    <t>الميزانية الختامية - نهاية السنة الأولى</t>
  </si>
  <si>
    <t>إجمالي الأصول</t>
  </si>
  <si>
    <t>إجمالي المطاليب</t>
  </si>
  <si>
    <t>الفرق</t>
  </si>
  <si>
    <t>الميزانية الختامية - نهاية السنة الثانية</t>
  </si>
  <si>
    <t>نتيجة أعمال السنة الثانية</t>
  </si>
  <si>
    <t>الميزانية الختامية - نهاية السنة الثالثة</t>
  </si>
  <si>
    <t>نتيجة أعمال السنة الثالثة</t>
  </si>
  <si>
    <t>الميزانية الختامية - نهاية السنة الرابعة</t>
  </si>
  <si>
    <t>نتيجة أعمال السنة الرابعة</t>
  </si>
  <si>
    <t>الميزانية الختامية - نهاية السنة الخامسة</t>
  </si>
  <si>
    <t>نتيجة أعمال السنة الخامسة</t>
  </si>
  <si>
    <t>السنة</t>
  </si>
  <si>
    <t>العائد على المبيعات ROS%</t>
  </si>
  <si>
    <t>العائد على رأس المال ROI%</t>
  </si>
  <si>
    <t>فترة إسترداد رأس المال Payback period</t>
  </si>
  <si>
    <t>الحد الأدنى لرأس المال المطلوب Capital</t>
  </si>
  <si>
    <t>معامل الخصم</t>
  </si>
  <si>
    <t>صافي الربح المخصوم</t>
  </si>
  <si>
    <t xml:space="preserve">إجمالي المصاريف الإدارية </t>
  </si>
  <si>
    <t>نقطة التعادل بالإيرادات</t>
  </si>
  <si>
    <t>سنوياً</t>
  </si>
  <si>
    <t>من صافي الأرباح</t>
  </si>
  <si>
    <t xml:space="preserve">نسبة نمو المبيعات </t>
  </si>
  <si>
    <t>شهرياً</t>
  </si>
  <si>
    <t>لبدء العمل</t>
  </si>
  <si>
    <t>%</t>
  </si>
  <si>
    <t>مجمع صافي الربح</t>
  </si>
  <si>
    <t>إفتراضات الدراسة</t>
  </si>
  <si>
    <t>البضاعة</t>
  </si>
  <si>
    <t>دولار أمريكي</t>
  </si>
  <si>
    <t xml:space="preserve">إيرادات المنتج/خياطة </t>
  </si>
  <si>
    <t>إيرادات المنتج/خياطة أعمال يدوية</t>
  </si>
  <si>
    <t>إيرادات المنتج/خياطة</t>
  </si>
  <si>
    <t>إيرادات المنتج/رسومات</t>
  </si>
  <si>
    <t>تكاليف المنتج/الخياطة</t>
  </si>
</sst>
</file>

<file path=xl/styles.xml><?xml version="1.0" encoding="utf-8"?>
<styleSheet xmlns="http://schemas.openxmlformats.org/spreadsheetml/2006/main">
  <numFmts count="4">
    <numFmt numFmtId="0" formatCode="General"/>
    <numFmt numFmtId="9" formatCode="0%"/>
    <numFmt numFmtId="164" formatCode="_-* #,##0_-;\-* #,##0_-;_-* &quot;-&quot;??_-;_-@_-"/>
    <numFmt numFmtId="165" formatCode="_-* #,##0.00_-;\-* #,##0.00_-;_-* &quot;-&quot;??_-;_-@_-"/>
  </numFmts>
  <fonts count="5">
    <font>
      <name val="Calibri"/>
      <sz val="11"/>
    </font>
    <font>
      <name val="Calibri"/>
      <sz val="11"/>
      <color rgb="FF000000"/>
    </font>
    <font>
      <name val="Calibri"/>
      <b/>
      <sz val="11"/>
      <color rgb="FF000000"/>
    </font>
    <font>
      <name val="Calibri"/>
      <sz val="11"/>
    </font>
    <font>
      <name val="Calibri"/>
      <sz val="11"/>
      <color rgb="FF000000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8FABDB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3">
    <xf numFmtId="0" fontId="0" fillId="0" borderId="0">
      <alignment vertical="center"/>
    </xf>
    <xf numFmtId="9" fontId="4" fillId="0" borderId="0">
      <alignment vertical="bottom"/>
      <protection locked="0" hidden="0"/>
    </xf>
    <xf numFmtId="165" fontId="4" fillId="0" borderId="0">
      <alignment vertical="bottom"/>
      <protection locked="0" hidden="0"/>
    </xf>
  </cellStyleXfs>
  <cellXfs count="116">
    <xf numFmtId="0" fontId="0" fillId="0" borderId="0" xfId="0">
      <alignment vertical="center"/>
    </xf>
    <xf numFmtId="0" fontId="1" fillId="0" borderId="0" xfId="0" applyFont="1" applyAlignment="1">
      <alignment horizontal="center" vertical="bottom"/>
    </xf>
    <xf numFmtId="0" fontId="1" fillId="0" borderId="1" xfId="0" applyFont="1" applyBorder="1" applyAlignment="1">
      <alignment horizontal="center" vertical="bottom"/>
    </xf>
    <xf numFmtId="0" fontId="1" fillId="0" borderId="2" xfId="0" applyFont="1" applyBorder="1" applyAlignment="1">
      <alignment horizontal="center" vertical="bottom"/>
    </xf>
    <xf numFmtId="0" fontId="1" fillId="0" borderId="3" xfId="0" applyFont="1" applyBorder="1" applyAlignment="1">
      <alignment horizontal="center" vertical="bottom"/>
    </xf>
    <xf numFmtId="0" fontId="1" fillId="0" borderId="4" xfId="0" applyFont="1" applyBorder="1" applyAlignment="1">
      <alignment vertical="bottom"/>
    </xf>
    <xf numFmtId="0" fontId="1" fillId="2" borderId="5" xfId="0" applyFont="1" applyFill="1" applyBorder="1" applyAlignment="1">
      <alignment horizontal="center" vertical="bottom"/>
    </xf>
    <xf numFmtId="0" fontId="1" fillId="0" borderId="6" xfId="0" applyFont="1" applyBorder="1" applyAlignment="1">
      <alignment horizontal="center" vertical="bottom"/>
    </xf>
    <xf numFmtId="9" fontId="1" fillId="2" borderId="5" xfId="1" applyFont="1" applyFill="1" applyBorder="1" applyAlignment="1">
      <alignment horizontal="center" vertical="bottom"/>
    </xf>
    <xf numFmtId="0" fontId="1" fillId="2" borderId="5" xfId="1" applyNumberFormat="1" applyFont="1" applyFill="1" applyBorder="1" applyAlignment="1">
      <alignment horizontal="center" vertical="bottom"/>
    </xf>
    <xf numFmtId="9" fontId="1" fillId="2" borderId="5" xfId="1" applyFont="1" applyFill="1" applyBorder="1" applyAlignment="1">
      <alignment horizontal="center" vertical="bottom" wrapText="1"/>
    </xf>
    <xf numFmtId="164" fontId="1" fillId="2" borderId="5" xfId="2" applyNumberFormat="1" applyFont="1" applyFill="1" applyBorder="1" applyAlignment="1">
      <alignment horizontal="center" vertical="bottom"/>
    </xf>
    <xf numFmtId="164" fontId="1" fillId="2" borderId="5" xfId="2" applyNumberFormat="1" applyFont="1" applyFill="1" applyBorder="1" applyAlignment="1">
      <alignment vertical="bottom"/>
    </xf>
    <xf numFmtId="0" fontId="1" fillId="0" borderId="7" xfId="0" applyFont="1" applyBorder="1" applyAlignment="1">
      <alignment vertical="bottom"/>
    </xf>
    <xf numFmtId="164" fontId="1" fillId="2" borderId="8" xfId="2" applyNumberFormat="1" applyFont="1" applyFill="1" applyBorder="1" applyAlignment="1">
      <alignment vertical="bottom"/>
    </xf>
    <xf numFmtId="0" fontId="1" fillId="0" borderId="9" xfId="0" applyFont="1" applyBorder="1" applyAlignment="1">
      <alignment horizontal="center" vertical="bottom"/>
    </xf>
    <xf numFmtId="0" fontId="2" fillId="0" borderId="10" xfId="0" applyFont="1" applyBorder="1" applyAlignment="1">
      <alignment horizontal="center" vertical="bottom"/>
    </xf>
    <xf numFmtId="0" fontId="1" fillId="0" borderId="11" xfId="0" applyFont="1" applyBorder="1" applyAlignment="1">
      <alignment horizontal="center" vertical="bottom"/>
    </xf>
    <xf numFmtId="0" fontId="2" fillId="0" borderId="11" xfId="0" applyFont="1" applyBorder="1" applyAlignment="1">
      <alignment horizontal="center" vertical="bottom"/>
    </xf>
    <xf numFmtId="0" fontId="2" fillId="0" borderId="12" xfId="0" applyFont="1" applyBorder="1" applyAlignment="1">
      <alignment horizontal="center" vertical="bottom"/>
    </xf>
    <xf numFmtId="0" fontId="1" fillId="0" borderId="4" xfId="0" applyFont="1" applyBorder="1" applyAlignment="1">
      <alignment horizontal="center" vertical="bottom"/>
    </xf>
    <xf numFmtId="164" fontId="2" fillId="0" borderId="5" xfId="2" applyNumberFormat="1" applyFont="1" applyBorder="1" applyAlignment="1">
      <alignment horizontal="center" vertical="bottom"/>
    </xf>
    <xf numFmtId="164" fontId="1" fillId="0" borderId="6" xfId="0" applyNumberFormat="1" applyFont="1" applyBorder="1" applyAlignment="1">
      <alignment horizontal="center" vertical="bottom"/>
    </xf>
    <xf numFmtId="9" fontId="1" fillId="0" borderId="0" xfId="1" applyFont="1" applyAlignment="1">
      <alignment horizontal="center" vertical="bottom"/>
    </xf>
    <xf numFmtId="164" fontId="1" fillId="0" borderId="5" xfId="2" applyNumberFormat="1" applyFont="1" applyBorder="1" applyAlignment="1">
      <alignment horizontal="center" vertical="bottom"/>
    </xf>
    <xf numFmtId="0" fontId="1" fillId="0" borderId="5" xfId="0" applyFont="1" applyBorder="1" applyAlignment="1">
      <alignment horizontal="center" vertical="bottom"/>
    </xf>
    <xf numFmtId="0" fontId="1" fillId="0" borderId="7" xfId="0" applyFont="1" applyBorder="1" applyAlignment="1">
      <alignment horizontal="center" vertical="bottom"/>
    </xf>
    <xf numFmtId="0" fontId="1" fillId="2" borderId="8" xfId="0" applyFont="1" applyFill="1" applyBorder="1" applyAlignment="1">
      <alignment horizontal="center" vertical="bottom"/>
    </xf>
    <xf numFmtId="0" fontId="1" fillId="0" borderId="8" xfId="0" applyFont="1" applyBorder="1" applyAlignment="1">
      <alignment horizontal="center" vertical="bottom"/>
    </xf>
    <xf numFmtId="164" fontId="1" fillId="0" borderId="8" xfId="2" applyNumberFormat="1" applyFont="1" applyBorder="1" applyAlignment="1">
      <alignment horizontal="center" vertical="bottom"/>
    </xf>
    <xf numFmtId="0" fontId="2" fillId="0" borderId="0" xfId="0" applyFont="1" applyAlignment="1">
      <alignment horizontal="center" vertical="bottom"/>
    </xf>
    <xf numFmtId="0" fontId="1" fillId="0" borderId="10" xfId="0" applyFont="1" applyBorder="1" applyAlignment="1">
      <alignment horizontal="center" vertical="bottom"/>
    </xf>
    <xf numFmtId="164" fontId="1" fillId="0" borderId="11" xfId="0" applyNumberFormat="1" applyFont="1" applyBorder="1" applyAlignment="1">
      <alignment horizontal="center" vertical="bottom"/>
    </xf>
    <xf numFmtId="9" fontId="2" fillId="0" borderId="12" xfId="1" applyFont="1" applyBorder="1" applyAlignment="1">
      <alignment horizontal="center" vertical="bottom"/>
    </xf>
    <xf numFmtId="164" fontId="1" fillId="0" borderId="5" xfId="0" applyNumberFormat="1" applyFont="1" applyBorder="1" applyAlignment="1">
      <alignment horizontal="center" vertical="bottom"/>
    </xf>
    <xf numFmtId="9" fontId="2" fillId="0" borderId="6" xfId="1" applyFont="1" applyBorder="1" applyAlignment="1">
      <alignment horizontal="center" vertical="bottom"/>
    </xf>
    <xf numFmtId="164" fontId="1" fillId="0" borderId="8" xfId="0" applyNumberFormat="1" applyFont="1" applyBorder="1" applyAlignment="1">
      <alignment horizontal="center" vertical="bottom"/>
    </xf>
    <xf numFmtId="9" fontId="2" fillId="0" borderId="9" xfId="1" applyFont="1" applyBorder="1" applyAlignment="1">
      <alignment horizontal="center" vertical="bottom"/>
    </xf>
    <xf numFmtId="0" fontId="1" fillId="0" borderId="0" xfId="0" applyFont="1" applyAlignment="1">
      <alignment horizontal="right" vertical="bottom"/>
    </xf>
    <xf numFmtId="0" fontId="1" fillId="0" borderId="13" xfId="0" applyFont="1" applyBorder="1" applyAlignment="1">
      <alignment horizontal="center" vertical="bottom"/>
    </xf>
    <xf numFmtId="0" fontId="2" fillId="0" borderId="14" xfId="0" applyFont="1" applyBorder="1" applyAlignment="1">
      <alignment horizontal="center" vertical="bottom"/>
    </xf>
    <xf numFmtId="0" fontId="1" fillId="0" borderId="4" xfId="0" applyFont="1" applyBorder="1" applyAlignment="1">
      <alignment horizontal="right" vertical="bottom"/>
    </xf>
    <xf numFmtId="164" fontId="1" fillId="0" borderId="5" xfId="2" applyNumberFormat="1" applyFont="1" applyBorder="1" applyAlignment="1">
      <alignment vertical="bottom"/>
    </xf>
    <xf numFmtId="164" fontId="1" fillId="0" borderId="15" xfId="2" applyNumberFormat="1" applyFont="1" applyBorder="1" applyAlignment="1">
      <alignment vertical="bottom"/>
    </xf>
    <xf numFmtId="164" fontId="1" fillId="0" borderId="16" xfId="2" applyNumberFormat="1" applyFont="1" applyBorder="1" applyAlignment="1">
      <alignment vertical="bottom"/>
    </xf>
    <xf numFmtId="0" fontId="1" fillId="0" borderId="16" xfId="0" applyFont="1" applyBorder="1" applyAlignment="1">
      <alignment vertical="bottom"/>
    </xf>
    <xf numFmtId="164" fontId="1" fillId="0" borderId="17" xfId="2" applyNumberFormat="1" applyFont="1" applyBorder="1" applyAlignment="1">
      <alignment vertical="bottom"/>
    </xf>
    <xf numFmtId="0" fontId="1" fillId="0" borderId="17" xfId="0" applyFont="1" applyBorder="1" applyAlignment="1">
      <alignment vertical="bottom"/>
    </xf>
    <xf numFmtId="9" fontId="2" fillId="0" borderId="17" xfId="1" applyFont="1" applyBorder="1" applyAlignment="1">
      <alignment horizontal="center" vertical="bottom"/>
    </xf>
    <xf numFmtId="164" fontId="1" fillId="0" borderId="17" xfId="0" applyNumberFormat="1" applyFont="1" applyBorder="1" applyAlignment="1">
      <alignment vertical="bottom"/>
    </xf>
    <xf numFmtId="164" fontId="1" fillId="0" borderId="6" xfId="2" applyNumberFormat="1" applyFont="1" applyBorder="1" applyAlignment="1">
      <alignment vertical="bottom"/>
    </xf>
    <xf numFmtId="164" fontId="2" fillId="0" borderId="5" xfId="2" applyNumberFormat="1" applyFont="1" applyBorder="1" applyAlignment="1">
      <alignment vertical="bottom"/>
    </xf>
    <xf numFmtId="164" fontId="2" fillId="0" borderId="6" xfId="2" applyNumberFormat="1" applyFont="1" applyBorder="1" applyAlignment="1">
      <alignment vertical="bottom"/>
    </xf>
    <xf numFmtId="164" fontId="1" fillId="0" borderId="18" xfId="0" applyNumberFormat="1" applyFont="1" applyBorder="1" applyAlignment="1">
      <alignment vertical="bottom"/>
    </xf>
    <xf numFmtId="164" fontId="1" fillId="0" borderId="18" xfId="2" applyNumberFormat="1" applyFont="1" applyBorder="1" applyAlignment="1">
      <alignment vertical="bottom"/>
    </xf>
    <xf numFmtId="9" fontId="2" fillId="0" borderId="18" xfId="1" applyFont="1" applyBorder="1" applyAlignment="1">
      <alignment horizontal="center" vertical="bottom"/>
    </xf>
    <xf numFmtId="0" fontId="1" fillId="0" borderId="7" xfId="0" applyFont="1" applyBorder="1" applyAlignment="1">
      <alignment horizontal="right" vertical="bottom"/>
    </xf>
    <xf numFmtId="164" fontId="2" fillId="0" borderId="8" xfId="2" applyNumberFormat="1" applyFont="1" applyBorder="1" applyAlignment="1">
      <alignment vertical="bottom"/>
    </xf>
    <xf numFmtId="164" fontId="2" fillId="0" borderId="9" xfId="2" applyNumberFormat="1" applyFont="1" applyBorder="1" applyAlignment="1">
      <alignment vertical="bottom"/>
    </xf>
    <xf numFmtId="164" fontId="1" fillId="0" borderId="19" xfId="0" applyNumberFormat="1" applyFont="1" applyBorder="1" applyAlignment="1">
      <alignment vertical="bottom"/>
    </xf>
    <xf numFmtId="164" fontId="1" fillId="0" borderId="19" xfId="2" applyNumberFormat="1" applyFont="1" applyBorder="1" applyAlignment="1">
      <alignment vertical="bottom"/>
    </xf>
    <xf numFmtId="9" fontId="2" fillId="0" borderId="19" xfId="1" applyFont="1" applyBorder="1" applyAlignment="1">
      <alignment horizontal="center" vertical="bottom"/>
    </xf>
    <xf numFmtId="0" fontId="1" fillId="0" borderId="19" xfId="0" applyFont="1" applyBorder="1" applyAlignment="1">
      <alignment horizontal="right" vertical="bottom"/>
    </xf>
    <xf numFmtId="164" fontId="1" fillId="0" borderId="14" xfId="0" applyNumberFormat="1" applyFont="1" applyBorder="1" applyAlignment="1">
      <alignment vertical="bottom"/>
    </xf>
    <xf numFmtId="9" fontId="2" fillId="0" borderId="14" xfId="1" applyFont="1" applyBorder="1" applyAlignment="1">
      <alignment horizontal="center" vertical="bottom"/>
    </xf>
    <xf numFmtId="9" fontId="1" fillId="0" borderId="11" xfId="1" applyFont="1" applyBorder="1" applyAlignment="1">
      <alignment horizontal="center" vertical="bottom"/>
    </xf>
    <xf numFmtId="9" fontId="2" fillId="0" borderId="11" xfId="1" applyFont="1" applyBorder="1" applyAlignment="1">
      <alignment horizontal="center" vertical="bottom"/>
    </xf>
    <xf numFmtId="0" fontId="1" fillId="0" borderId="5" xfId="0" applyFont="1" applyBorder="1" applyAlignment="1">
      <alignment vertical="bottom"/>
    </xf>
    <xf numFmtId="9" fontId="2" fillId="0" borderId="5" xfId="1" applyFont="1" applyBorder="1" applyAlignment="1">
      <alignment horizontal="center" vertical="bottom"/>
    </xf>
    <xf numFmtId="0" fontId="1" fillId="0" borderId="6" xfId="0" applyFont="1" applyBorder="1" applyAlignment="1">
      <alignment vertical="bottom"/>
    </xf>
    <xf numFmtId="164" fontId="1" fillId="0" borderId="8" xfId="2" applyNumberFormat="1" applyFont="1" applyBorder="1" applyAlignment="1">
      <alignment vertical="bottom"/>
    </xf>
    <xf numFmtId="0" fontId="1" fillId="0" borderId="8" xfId="0" applyFont="1" applyBorder="1" applyAlignment="1">
      <alignment vertical="bottom"/>
    </xf>
    <xf numFmtId="0" fontId="1" fillId="0" borderId="9" xfId="0" applyFont="1" applyBorder="1" applyAlignment="1">
      <alignment vertical="bottom"/>
    </xf>
    <xf numFmtId="0" fontId="1" fillId="0" borderId="12" xfId="0" applyFont="1" applyBorder="1" applyAlignment="1">
      <alignment horizontal="center" vertical="bottom"/>
    </xf>
    <xf numFmtId="0" fontId="2" fillId="0" borderId="20" xfId="0" applyFont="1" applyBorder="1" applyAlignment="1">
      <alignment horizontal="center" vertical="bottom"/>
    </xf>
    <xf numFmtId="0" fontId="2" fillId="0" borderId="21" xfId="0" applyFont="1" applyBorder="1" applyAlignment="1">
      <alignment horizontal="center" vertical="bottom"/>
    </xf>
    <xf numFmtId="0" fontId="2" fillId="0" borderId="22" xfId="0" applyFont="1" applyBorder="1" applyAlignment="1">
      <alignment horizontal="center" vertical="bottom"/>
    </xf>
    <xf numFmtId="0" fontId="1" fillId="3" borderId="4" xfId="0" applyFont="1" applyFill="1" applyBorder="1" applyAlignment="1">
      <alignment vertical="bottom"/>
    </xf>
    <xf numFmtId="164" fontId="2" fillId="0" borderId="23" xfId="2" applyNumberFormat="1" applyFont="1" applyBorder="1" applyAlignment="1">
      <alignment vertical="bottom"/>
    </xf>
    <xf numFmtId="164" fontId="2" fillId="0" borderId="24" xfId="2" applyNumberFormat="1" applyFont="1" applyBorder="1" applyAlignment="1">
      <alignment vertical="bottom"/>
    </xf>
    <xf numFmtId="164" fontId="2" fillId="0" borderId="25" xfId="2" applyNumberFormat="1" applyFont="1" applyBorder="1" applyAlignment="1">
      <alignment vertical="bottom"/>
    </xf>
    <xf numFmtId="164" fontId="1" fillId="0" borderId="4" xfId="2" applyNumberFormat="1" applyFont="1" applyBorder="1" applyAlignment="1">
      <alignment vertical="bottom"/>
    </xf>
    <xf numFmtId="164" fontId="2" fillId="0" borderId="4" xfId="2" applyNumberFormat="1" applyFont="1" applyBorder="1" applyAlignment="1">
      <alignment vertical="bottom"/>
    </xf>
    <xf numFmtId="0" fontId="1" fillId="0" borderId="26" xfId="0" applyFont="1" applyBorder="1" applyAlignment="1">
      <alignment vertical="bottom"/>
    </xf>
    <xf numFmtId="164" fontId="1" fillId="0" borderId="27" xfId="2" applyNumberFormat="1" applyFont="1" applyBorder="1" applyAlignment="1">
      <alignment vertical="bottom"/>
    </xf>
    <xf numFmtId="0" fontId="1" fillId="0" borderId="27" xfId="0" applyFont="1" applyBorder="1" applyAlignment="1">
      <alignment vertical="bottom"/>
    </xf>
    <xf numFmtId="0" fontId="1" fillId="0" borderId="28" xfId="0" applyFont="1" applyBorder="1" applyAlignment="1">
      <alignment vertical="bottom"/>
    </xf>
    <xf numFmtId="0" fontId="1" fillId="0" borderId="10" xfId="0" applyFont="1" applyBorder="1" applyAlignment="1">
      <alignment vertical="bottom"/>
    </xf>
    <xf numFmtId="164" fontId="3" fillId="0" borderId="11" xfId="0" applyNumberFormat="1" applyFont="1" applyBorder="1" applyAlignment="1">
      <alignment vertical="bottom"/>
    </xf>
    <xf numFmtId="164" fontId="1" fillId="0" borderId="11" xfId="0" applyNumberFormat="1" applyFont="1" applyBorder="1" applyAlignment="1">
      <alignment vertical="bottom"/>
    </xf>
    <xf numFmtId="164" fontId="1" fillId="0" borderId="12" xfId="0" applyNumberFormat="1" applyFont="1" applyBorder="1" applyAlignment="1">
      <alignment vertical="bottom"/>
    </xf>
    <xf numFmtId="164" fontId="1" fillId="0" borderId="10" xfId="2" applyNumberFormat="1" applyFont="1" applyBorder="1" applyAlignment="1">
      <alignment vertical="bottom"/>
    </xf>
    <xf numFmtId="164" fontId="1" fillId="0" borderId="11" xfId="2" applyNumberFormat="1" applyFont="1" applyBorder="1" applyAlignment="1">
      <alignment vertical="bottom"/>
    </xf>
    <xf numFmtId="164" fontId="1" fillId="0" borderId="12" xfId="2" applyNumberFormat="1" applyFont="1" applyBorder="1" applyAlignment="1">
      <alignment vertical="bottom"/>
    </xf>
    <xf numFmtId="164" fontId="3" fillId="0" borderId="8" xfId="0" applyNumberFormat="1" applyFont="1" applyBorder="1" applyAlignment="1">
      <alignment vertical="bottom"/>
    </xf>
    <xf numFmtId="164" fontId="1" fillId="0" borderId="8" xfId="0" applyNumberFormat="1" applyFont="1" applyBorder="1" applyAlignment="1">
      <alignment vertical="bottom"/>
    </xf>
    <xf numFmtId="164" fontId="1" fillId="0" borderId="9" xfId="0" applyNumberFormat="1" applyFont="1" applyBorder="1" applyAlignment="1">
      <alignment vertical="bottom"/>
    </xf>
    <xf numFmtId="164" fontId="1" fillId="0" borderId="0" xfId="2" applyNumberFormat="1" applyFont="1" applyAlignment="1">
      <alignment vertical="bottom"/>
    </xf>
    <xf numFmtId="0" fontId="1" fillId="0" borderId="10" xfId="0" applyFont="1" applyBorder="1" applyAlignment="1">
      <alignment horizontal="center" vertical="bottom"/>
    </xf>
    <xf numFmtId="0" fontId="1" fillId="0" borderId="11" xfId="0" applyFont="1" applyBorder="1" applyAlignment="1">
      <alignment horizontal="center" vertical="bottom"/>
    </xf>
    <xf numFmtId="0" fontId="1" fillId="0" borderId="12" xfId="0" applyFont="1" applyBorder="1" applyAlignment="1">
      <alignment horizontal="center" vertical="bottom"/>
    </xf>
    <xf numFmtId="0" fontId="1" fillId="0" borderId="4" xfId="0" applyFont="1" applyBorder="1" applyAlignment="1">
      <alignment horizontal="center" vertical="bottom"/>
    </xf>
    <xf numFmtId="0" fontId="1" fillId="0" borderId="5" xfId="0" applyFont="1" applyBorder="1" applyAlignment="1">
      <alignment horizontal="center" vertical="bottom"/>
    </xf>
    <xf numFmtId="0" fontId="1" fillId="0" borderId="6" xfId="0" applyFont="1" applyBorder="1" applyAlignment="1">
      <alignment horizontal="center" vertical="bottom"/>
    </xf>
    <xf numFmtId="0" fontId="2" fillId="0" borderId="20" xfId="0" applyFont="1" applyBorder="1" applyAlignment="1">
      <alignment vertical="bottom"/>
    </xf>
    <xf numFmtId="164" fontId="2" fillId="0" borderId="21" xfId="2" applyNumberFormat="1" applyFont="1" applyBorder="1" applyAlignment="1">
      <alignment vertical="bottom"/>
    </xf>
    <xf numFmtId="0" fontId="2" fillId="0" borderId="21" xfId="0" applyFont="1" applyBorder="1" applyAlignment="1">
      <alignment vertical="bottom"/>
    </xf>
    <xf numFmtId="164" fontId="2" fillId="0" borderId="22" xfId="2" applyNumberFormat="1" applyFont="1" applyBorder="1" applyAlignment="1">
      <alignment vertical="bottom"/>
    </xf>
    <xf numFmtId="164" fontId="1" fillId="0" borderId="28" xfId="2" applyNumberFormat="1" applyFont="1" applyBorder="1" applyAlignment="1">
      <alignment vertical="bottom"/>
    </xf>
    <xf numFmtId="164" fontId="1" fillId="0" borderId="9" xfId="2" applyNumberFormat="1" applyFont="1" applyBorder="1" applyAlignment="1">
      <alignment vertical="bottom"/>
    </xf>
    <xf numFmtId="0" fontId="1" fillId="0" borderId="29" xfId="0" applyFont="1" applyBorder="1" applyAlignment="1">
      <alignment vertical="bottom"/>
    </xf>
    <xf numFmtId="164" fontId="1" fillId="0" borderId="30" xfId="2" applyNumberFormat="1" applyFont="1" applyBorder="1" applyAlignment="1">
      <alignment vertical="bottom"/>
    </xf>
    <xf numFmtId="164" fontId="1" fillId="0" borderId="31" xfId="2" applyNumberFormat="1" applyFont="1" applyBorder="1" applyAlignment="1">
      <alignment vertical="bottom"/>
    </xf>
    <xf numFmtId="9" fontId="1" fillId="0" borderId="5" xfId="0" applyNumberFormat="1" applyFont="1" applyBorder="1" applyAlignment="1">
      <alignment horizontal="center" vertical="bottom"/>
    </xf>
    <xf numFmtId="9" fontId="1" fillId="0" borderId="6" xfId="0" applyNumberFormat="1" applyFont="1" applyBorder="1" applyAlignment="1">
      <alignment horizontal="center" vertical="bottom"/>
    </xf>
    <xf numFmtId="164" fontId="1" fillId="0" borderId="9" xfId="2" applyNumberFormat="1" applyFont="1" applyBorder="1" applyAlignment="1">
      <alignment horizontal="center" vertical="bottom"/>
    </xf>
  </cellXfs>
  <cellStyles count="3">
    <cellStyle name="常规" xfId="0" builtinId="0"/>
    <cellStyle name="百分比" xfId="1" builtinId="5"/>
    <cellStyle name="千位分隔" xfId="2" builtinId="3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www.wps.cn/officeDocument/2020/cellImage" Target="cellimages.xml"/><Relationship Id="rId8" Type="http://schemas.openxmlformats.org/officeDocument/2006/relationships/sharedStrings" Target="sharedStrings.xml"/><Relationship Id="rId9" Type="http://schemas.openxmlformats.org/officeDocument/2006/relationships/styles" Target="styles.xml"/><Relationship Id="rId1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Q13"/>
  <sheetViews>
    <sheetView tabSelected="1" workbookViewId="0" rightToLeft="1" zoomScale="73">
      <selection activeCell="A41" sqref="A41"/>
    </sheetView>
  </sheetViews>
  <sheetFormatPr defaultRowHeight="15.0" defaultColWidth="10"/>
  <cols>
    <col min="1" max="1" customWidth="1" bestFit="1" width="26.855469" style="0"/>
    <col min="2" max="2" customWidth="1" bestFit="1" width="10.285156" style="0"/>
    <col min="3" max="3" customWidth="1" bestFit="1" width="11.140625" style="1"/>
  </cols>
  <sheetData>
    <row r="1" spans="8:8">
      <c r="A1" s="2" t="s">
        <v>109</v>
      </c>
      <c r="B1" s="3"/>
      <c r="C1" s="4"/>
    </row>
    <row r="2" spans="8:8">
      <c r="A2" s="5" t="s">
        <v>44</v>
      </c>
      <c r="B2" s="6" t="s">
        <v>111</v>
      </c>
      <c r="C2" s="7"/>
    </row>
    <row r="3" spans="8:8">
      <c r="A3" s="5" t="s">
        <v>45</v>
      </c>
      <c r="B3" s="8">
        <v>0.25</v>
      </c>
      <c r="C3" s="7" t="s">
        <v>102</v>
      </c>
    </row>
    <row r="4" spans="8:8">
      <c r="A4" s="5" t="s">
        <v>98</v>
      </c>
      <c r="B4" s="8">
        <v>0.15</v>
      </c>
      <c r="C4" s="7" t="s">
        <v>102</v>
      </c>
    </row>
    <row r="5" spans="8:8">
      <c r="A5" s="5" t="s">
        <v>46</v>
      </c>
      <c r="B5" s="9">
        <v>5.0</v>
      </c>
      <c r="C5" s="7" t="s">
        <v>47</v>
      </c>
    </row>
    <row r="6" spans="8:8">
      <c r="A6" s="5" t="s">
        <v>49</v>
      </c>
      <c r="B6" s="10">
        <v>0.22</v>
      </c>
      <c r="C6" s="7" t="s">
        <v>103</v>
      </c>
    </row>
    <row r="7" spans="8:8">
      <c r="A7" s="5" t="s">
        <v>104</v>
      </c>
      <c r="B7" s="8">
        <v>0.25</v>
      </c>
      <c r="C7" s="7" t="s">
        <v>102</v>
      </c>
    </row>
    <row r="8" spans="8:8">
      <c r="A8" s="5" t="s">
        <v>35</v>
      </c>
      <c r="B8" s="11">
        <f>500*4</f>
        <v>2000.0</v>
      </c>
      <c r="C8" s="7" t="s">
        <v>105</v>
      </c>
    </row>
    <row r="9" spans="8:8">
      <c r="A9" s="5" t="s">
        <v>36</v>
      </c>
      <c r="B9" s="11">
        <v>300.0</v>
      </c>
      <c r="C9" s="7" t="s">
        <v>105</v>
      </c>
    </row>
    <row r="10" spans="8:8">
      <c r="A10" s="5" t="s">
        <v>37</v>
      </c>
      <c r="B10" s="12">
        <v>250.0</v>
      </c>
      <c r="C10" s="7" t="s">
        <v>105</v>
      </c>
    </row>
    <row r="11" spans="8:8">
      <c r="A11" s="5" t="s">
        <v>38</v>
      </c>
      <c r="B11" s="12">
        <v>150.0</v>
      </c>
      <c r="C11" s="7" t="s">
        <v>105</v>
      </c>
    </row>
    <row r="12" spans="8:8">
      <c r="A12" s="5" t="s">
        <v>40</v>
      </c>
      <c r="B12" s="12">
        <v>200.0</v>
      </c>
      <c r="C12" s="7" t="s">
        <v>105</v>
      </c>
    </row>
    <row r="13" spans="8:8">
      <c r="A13" s="13" t="s">
        <v>48</v>
      </c>
      <c r="B13" s="14">
        <v>7000.0</v>
      </c>
      <c r="C13" s="15" t="s">
        <v>106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:r="http://schemas.openxmlformats.org/officeDocument/2006/relationships" xmlns="http://schemas.openxmlformats.org/spreadsheetml/2006/main">
  <dimension ref="A1:AI64"/>
  <sheetViews>
    <sheetView workbookViewId="0" rightToLeft="1" zoomScale="57">
      <selection activeCell="N62" sqref="N62:S62"/>
    </sheetView>
  </sheetViews>
  <sheetFormatPr defaultRowHeight="15.0" defaultColWidth="10" outlineLevelCol="1" outlineLevelRow="1"/>
  <cols>
    <col min="1" max="1" customWidth="1" bestFit="1" width="18.140625" style="1"/>
    <col min="2" max="2" customWidth="1" bestFit="1" width="8.285156" outlineLevel="1" style="1"/>
    <col min="3" max="4" customWidth="1" bestFit="1" width="8.425781" outlineLevel="1" style="1"/>
    <col min="5" max="13" customWidth="1" bestFit="1" width="8.285156" outlineLevel="1" style="1"/>
    <col min="14" max="18" customWidth="1" width="11.285156" style="1"/>
    <col min="19" max="19" customWidth="1" bestFit="1" width="11.0" style="1"/>
    <col min="20" max="20" customWidth="1" bestFit="1" width="11.7109375" style="1"/>
    <col min="21" max="16384" customWidth="0" width="8.855469" style="1"/>
  </cols>
  <sheetData>
    <row r="1" spans="8:8">
      <c r="A1" s="16" t="s">
        <v>0</v>
      </c>
      <c r="B1" s="17">
        <v>1.0</v>
      </c>
      <c r="C1" s="17">
        <v>2.0</v>
      </c>
      <c r="D1" s="17">
        <v>3.0</v>
      </c>
      <c r="E1" s="17">
        <v>4.0</v>
      </c>
      <c r="F1" s="17">
        <v>5.0</v>
      </c>
      <c r="G1" s="17">
        <v>6.0</v>
      </c>
      <c r="H1" s="17">
        <v>7.0</v>
      </c>
      <c r="I1" s="17">
        <v>8.0</v>
      </c>
      <c r="J1" s="17">
        <v>9.0</v>
      </c>
      <c r="K1" s="17">
        <v>10.0</v>
      </c>
      <c r="L1" s="17">
        <v>11.0</v>
      </c>
      <c r="M1" s="17">
        <v>12.0</v>
      </c>
      <c r="N1" s="18" t="s">
        <v>1</v>
      </c>
      <c r="O1" s="18" t="s">
        <v>2</v>
      </c>
      <c r="P1" s="18" t="s">
        <v>3</v>
      </c>
      <c r="Q1" s="18" t="s">
        <v>4</v>
      </c>
      <c r="R1" s="18" t="s">
        <v>5</v>
      </c>
      <c r="S1" s="19" t="s">
        <v>19</v>
      </c>
    </row>
    <row r="2" spans="8:8" ht="18.95" outlineLevel="1">
      <c r="A2" s="20" t="s">
        <v>115</v>
      </c>
      <c r="B2" s="21">
        <f t="shared" si="0" ref="B2:M2">B5*B4</f>
        <v>2687.5</v>
      </c>
      <c r="C2" s="21">
        <f t="shared" si="0"/>
        <v>2812.5</v>
      </c>
      <c r="D2" s="21">
        <f t="shared" si="0"/>
        <v>2937.5</v>
      </c>
      <c r="E2" s="21">
        <f t="shared" si="0"/>
        <v>3062.5</v>
      </c>
      <c r="F2" s="21">
        <f t="shared" si="0"/>
        <v>3187.5</v>
      </c>
      <c r="G2" s="21">
        <f t="shared" si="0"/>
        <v>3312.5</v>
      </c>
      <c r="H2" s="21">
        <f t="shared" si="0"/>
        <v>3437.5</v>
      </c>
      <c r="I2" s="21">
        <f t="shared" si="0"/>
        <v>3562.5</v>
      </c>
      <c r="J2" s="21">
        <f t="shared" si="0"/>
        <v>3687.5</v>
      </c>
      <c r="K2" s="21">
        <f t="shared" si="0"/>
        <v>3812.5</v>
      </c>
      <c r="L2" s="21">
        <f t="shared" si="0"/>
        <v>3937.5</v>
      </c>
      <c r="M2" s="21">
        <f t="shared" si="0"/>
        <v>4062.5</v>
      </c>
      <c r="N2" s="21">
        <f>SUM(B2:M2)</f>
        <v>40500.0</v>
      </c>
      <c r="O2" s="21">
        <f>O5*O4</f>
        <v>76171.875</v>
      </c>
      <c r="P2" s="21">
        <f t="shared" si="1" ref="P2:R2">P5*P4</f>
        <v>119018.5546875</v>
      </c>
      <c r="Q2" s="21">
        <f t="shared" si="1"/>
        <v>185966.49169921875</v>
      </c>
      <c r="R2" s="21">
        <f t="shared" si="1"/>
        <v>290572.6432800293</v>
      </c>
      <c r="S2" s="22">
        <f>SUM(N2:R2)</f>
        <v>712229.564666748</v>
      </c>
      <c r="U2" s="23"/>
    </row>
    <row r="3" spans="8:8" ht="18.95" outlineLevel="1">
      <c r="A3" s="20" t="s">
        <v>116</v>
      </c>
      <c r="B3" s="21">
        <f t="shared" si="2" ref="B3:M3">B4*B6</f>
        <v>1720.0</v>
      </c>
      <c r="C3" s="21">
        <f t="shared" si="2"/>
        <v>1800.0</v>
      </c>
      <c r="D3" s="21">
        <f t="shared" si="2"/>
        <v>1880.0</v>
      </c>
      <c r="E3" s="21">
        <f t="shared" si="2"/>
        <v>1960.0</v>
      </c>
      <c r="F3" s="21">
        <f t="shared" si="2"/>
        <v>2040.0</v>
      </c>
      <c r="G3" s="21">
        <f t="shared" si="2"/>
        <v>2120.0</v>
      </c>
      <c r="H3" s="21">
        <f t="shared" si="2"/>
        <v>2200.0</v>
      </c>
      <c r="I3" s="21">
        <f t="shared" si="2"/>
        <v>2280.0</v>
      </c>
      <c r="J3" s="21">
        <f t="shared" si="2"/>
        <v>2360.0</v>
      </c>
      <c r="K3" s="21">
        <f t="shared" si="2"/>
        <v>2440.0</v>
      </c>
      <c r="L3" s="21">
        <f t="shared" si="2"/>
        <v>2520.0</v>
      </c>
      <c r="M3" s="21">
        <f t="shared" si="2"/>
        <v>2600.0</v>
      </c>
      <c r="N3" s="21">
        <f>SUM(B3:M3)</f>
        <v>25920.0</v>
      </c>
      <c r="O3" s="21">
        <f>O6*O4</f>
        <v>48750.0</v>
      </c>
      <c r="P3" s="21">
        <f t="shared" si="3" ref="P3:R3">P6*P4</f>
        <v>76171.875</v>
      </c>
      <c r="Q3" s="21">
        <f t="shared" si="3"/>
        <v>119018.5546875</v>
      </c>
      <c r="R3" s="21">
        <f t="shared" si="3"/>
        <v>185966.49169921875</v>
      </c>
      <c r="S3" s="22">
        <f>SUM(N3:R3)</f>
        <v>455826.92138671875</v>
      </c>
      <c r="U3" s="23"/>
    </row>
    <row r="4" spans="8:8" ht="15.2" outlineLevel="1">
      <c r="A4" s="20" t="s">
        <v>7</v>
      </c>
      <c r="B4" s="11">
        <v>215.0</v>
      </c>
      <c r="C4" s="11">
        <v>225.0</v>
      </c>
      <c r="D4" s="11">
        <v>235.0</v>
      </c>
      <c r="E4" s="11">
        <v>245.0</v>
      </c>
      <c r="F4" s="11">
        <v>255.0</v>
      </c>
      <c r="G4" s="11">
        <v>265.0</v>
      </c>
      <c r="H4" s="11">
        <v>275.0</v>
      </c>
      <c r="I4" s="11">
        <v>285.0</v>
      </c>
      <c r="J4" s="11">
        <v>295.0</v>
      </c>
      <c r="K4" s="11">
        <v>305.0</v>
      </c>
      <c r="L4" s="11">
        <v>315.0</v>
      </c>
      <c r="M4" s="11">
        <v>325.0</v>
      </c>
      <c r="N4" s="24">
        <f>SUM(B4:M4)</f>
        <v>3240.0</v>
      </c>
      <c r="O4" s="24">
        <f>M4*12*(الإفتراضات!$B$7+1)</f>
        <v>4875.0</v>
      </c>
      <c r="P4" s="24">
        <f>O4*(الإفتراضات!$B$7+1)</f>
        <v>6093.75</v>
      </c>
      <c r="Q4" s="24">
        <f>P4*(الإفتراضات!$B$7+1)</f>
        <v>7617.1875</v>
      </c>
      <c r="R4" s="24">
        <f>Q4*(الإفتراضات!$B$7+1)</f>
        <v>9521.484375</v>
      </c>
      <c r="S4" s="22">
        <f>S2-S3</f>
        <v>256402.64328002906</v>
      </c>
      <c r="U4" s="23"/>
    </row>
    <row r="5" spans="8:8" ht="15.0" outlineLevel="1">
      <c r="A5" s="20" t="s">
        <v>20</v>
      </c>
      <c r="B5" s="6">
        <v>12.5</v>
      </c>
      <c r="C5" s="6">
        <v>12.5</v>
      </c>
      <c r="D5" s="6">
        <v>12.5</v>
      </c>
      <c r="E5" s="6">
        <v>12.5</v>
      </c>
      <c r="F5" s="6">
        <v>12.5</v>
      </c>
      <c r="G5" s="6">
        <v>12.5</v>
      </c>
      <c r="H5" s="6">
        <v>12.5</v>
      </c>
      <c r="I5" s="6">
        <v>12.5</v>
      </c>
      <c r="J5" s="6">
        <v>12.5</v>
      </c>
      <c r="K5" s="6">
        <v>12.5</v>
      </c>
      <c r="L5" s="6">
        <v>12.5</v>
      </c>
      <c r="M5" s="6">
        <v>12.5</v>
      </c>
      <c r="N5" s="24"/>
      <c r="O5" s="24">
        <f>M5*(1+الإفتراضات!$B$3)</f>
        <v>15.625</v>
      </c>
      <c r="P5" s="24">
        <f>O5*(1+الإفتراضات!$B$3)</f>
        <v>19.53125</v>
      </c>
      <c r="Q5" s="24">
        <f>P5*(1+الإفتراضات!$B$3)</f>
        <v>24.4140625</v>
      </c>
      <c r="R5" s="24">
        <f>Q5*(1+الإفتراضات!$B$3)</f>
        <v>30.517578125</v>
      </c>
      <c r="S5" s="7"/>
    </row>
    <row r="6" spans="8:8" ht="15.0" outlineLevel="1">
      <c r="A6" s="20" t="s">
        <v>22</v>
      </c>
      <c r="B6" s="6">
        <v>8.0</v>
      </c>
      <c r="C6" s="6">
        <v>8.0</v>
      </c>
      <c r="D6" s="6">
        <v>8.0</v>
      </c>
      <c r="E6" s="6">
        <v>8.0</v>
      </c>
      <c r="F6" s="6">
        <v>8.0</v>
      </c>
      <c r="G6" s="6">
        <v>8.0</v>
      </c>
      <c r="H6" s="6">
        <v>8.0</v>
      </c>
      <c r="I6" s="6">
        <v>8.0</v>
      </c>
      <c r="J6" s="6">
        <v>8.0</v>
      </c>
      <c r="K6" s="6">
        <v>8.0</v>
      </c>
      <c r="L6" s="6">
        <v>8.0</v>
      </c>
      <c r="M6" s="6">
        <v>8.0</v>
      </c>
      <c r="N6" s="25"/>
      <c r="O6" s="24">
        <f>M6*(1+الإفتراضات!$B$3)</f>
        <v>10.0</v>
      </c>
      <c r="P6" s="24">
        <f>O6*(1+الإفتراضات!$B$3)</f>
        <v>12.5</v>
      </c>
      <c r="Q6" s="24">
        <f>P6*(1+الإفتراضات!$B$3)</f>
        <v>15.625</v>
      </c>
      <c r="R6" s="24">
        <f>Q6*(1+الإفتراضات!$B$3)</f>
        <v>19.53125</v>
      </c>
      <c r="S6" s="7"/>
    </row>
    <row r="7" spans="8:8" ht="18.95" outlineLevel="1">
      <c r="B7" s="25"/>
      <c r="C7" s="25"/>
      <c r="D7" s="25"/>
      <c r="E7" s="25"/>
      <c r="F7" s="25"/>
      <c r="G7" s="20" t="s">
        <v>113</v>
      </c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7"/>
    </row>
    <row r="8" spans="8:8" ht="15.0" outlineLevel="1">
      <c r="A8" s="1" t="s">
        <v>114</v>
      </c>
      <c r="B8" s="21">
        <f>B11*B10</f>
        <v>2500.0</v>
      </c>
      <c r="C8" s="21">
        <f>C11*C10</f>
        <v>2700.0</v>
      </c>
      <c r="D8" s="21">
        <f>D11*D10</f>
        <v>2900.0</v>
      </c>
      <c r="E8" s="21">
        <f>E11*E10</f>
        <v>3100.0</v>
      </c>
      <c r="F8" s="21">
        <f>F11*F10</f>
        <v>3300.0</v>
      </c>
      <c r="G8" s="20" t="s">
        <v>113</v>
      </c>
      <c r="H8" s="21">
        <f>H11*H10</f>
        <v>3700.0</v>
      </c>
      <c r="I8" s="21">
        <f>I11*I10</f>
        <v>3900.0</v>
      </c>
      <c r="J8" s="21">
        <f>J11*J10</f>
        <v>4100.0</v>
      </c>
      <c r="K8" s="21">
        <f>K11*K10</f>
        <v>4300.0</v>
      </c>
      <c r="L8" s="21">
        <f>L11*L10</f>
        <v>4500.0</v>
      </c>
      <c r="M8" s="21">
        <f>M11*M10</f>
        <v>4700.0</v>
      </c>
      <c r="N8" s="21">
        <f>SUM(B8:M8)</f>
        <v>39700.0</v>
      </c>
      <c r="O8" s="21">
        <f>O11*O10</f>
        <v>88125.0</v>
      </c>
      <c r="P8" s="21">
        <f t="shared" si="4" ref="P8:R8">P11*P10</f>
        <v>137695.3125</v>
      </c>
      <c r="Q8" s="21">
        <f t="shared" si="4"/>
        <v>215148.92578125</v>
      </c>
      <c r="R8" s="21">
        <f t="shared" si="4"/>
        <v>336170.1965332031</v>
      </c>
      <c r="S8" s="22">
        <f>SUM(N8:R8)</f>
        <v>816839.4348144531</v>
      </c>
    </row>
    <row r="9" spans="8:8" ht="15.0" outlineLevel="1">
      <c r="A9" s="20" t="s">
        <v>116</v>
      </c>
      <c r="B9" s="21">
        <f>B10*B12</f>
        <v>1875.0</v>
      </c>
      <c r="C9" s="21">
        <f t="shared" si="5" ref="C9">C10*C12</f>
        <v>2025.0</v>
      </c>
      <c r="D9" s="21">
        <f t="shared" si="6" ref="D9">D10*D12</f>
        <v>2175.0</v>
      </c>
      <c r="E9" s="21">
        <f t="shared" si="7" ref="E9">E10*E12</f>
        <v>2325.0</v>
      </c>
      <c r="F9" s="21">
        <f t="shared" si="8" ref="F9">F10*F12</f>
        <v>2475.0</v>
      </c>
      <c r="G9" s="21">
        <f t="shared" si="9" ref="G9">G10*G12</f>
        <v>2625.0</v>
      </c>
      <c r="H9" s="21">
        <f t="shared" si="10" ref="H9">H10*H12</f>
        <v>2775.0</v>
      </c>
      <c r="I9" s="21">
        <f t="shared" si="11" ref="I9">I10*I12</f>
        <v>2925.0</v>
      </c>
      <c r="J9" s="21">
        <f t="shared" si="12" ref="J9">J10*J12</f>
        <v>3075.0</v>
      </c>
      <c r="K9" s="21">
        <f t="shared" si="13" ref="K9">K10*K12</f>
        <v>3225.0</v>
      </c>
      <c r="L9" s="21">
        <f t="shared" si="14" ref="L9">L10*L12</f>
        <v>3375.0</v>
      </c>
      <c r="M9" s="21">
        <f t="shared" si="15" ref="M9">M10*M12</f>
        <v>3525.0</v>
      </c>
      <c r="N9" s="21">
        <f>SUM(B9:M9)</f>
        <v>32400.0</v>
      </c>
      <c r="O9" s="21">
        <f>O12*O10</f>
        <v>66093.75</v>
      </c>
      <c r="P9" s="21">
        <f t="shared" si="16" ref="P9">P12*P10</f>
        <v>103271.484375</v>
      </c>
      <c r="Q9" s="21">
        <f t="shared" si="17" ref="Q9">Q12*Q10</f>
        <v>161361.6943359375</v>
      </c>
      <c r="R9" s="21">
        <f t="shared" si="18" ref="R9">R12*R10</f>
        <v>252127.64739990234</v>
      </c>
      <c r="S9" s="22">
        <f>SUM(N9:R9)</f>
        <v>615254.5761108398</v>
      </c>
    </row>
    <row r="10" spans="8:8" ht="15.2" outlineLevel="1">
      <c r="A10" s="20" t="s">
        <v>7</v>
      </c>
      <c r="B10" s="11">
        <v>250.0</v>
      </c>
      <c r="C10" s="11">
        <v>270.0</v>
      </c>
      <c r="D10" s="11">
        <v>290.0</v>
      </c>
      <c r="E10" s="11">
        <v>310.0</v>
      </c>
      <c r="F10" s="11">
        <v>330.0</v>
      </c>
      <c r="G10" s="11">
        <v>350.0</v>
      </c>
      <c r="H10" s="11">
        <v>370.0</v>
      </c>
      <c r="I10" s="11">
        <v>390.0</v>
      </c>
      <c r="J10" s="11">
        <v>410.0</v>
      </c>
      <c r="K10" s="11">
        <v>430.0</v>
      </c>
      <c r="L10" s="11">
        <v>450.0</v>
      </c>
      <c r="M10" s="11">
        <v>470.0</v>
      </c>
      <c r="N10" s="24">
        <f>SUM(B10:M10)</f>
        <v>4320.0</v>
      </c>
      <c r="O10" s="24">
        <f>M10*12*(الإفتراضات!$B$7+1)</f>
        <v>7050.0</v>
      </c>
      <c r="P10" s="24">
        <f>O10*(الإفتراضات!$B$7+1)</f>
        <v>8812.5</v>
      </c>
      <c r="Q10" s="24">
        <f>P10*(الإفتراضات!$B$7+1)</f>
        <v>11015.625</v>
      </c>
      <c r="R10" s="24">
        <f>Q10*(الإفتراضات!$B$7+1)</f>
        <v>13769.53125</v>
      </c>
      <c r="S10" s="7"/>
    </row>
    <row r="11" spans="8:8" ht="15.0" outlineLevel="1">
      <c r="A11" s="20" t="s">
        <v>20</v>
      </c>
      <c r="B11" s="6">
        <v>10.0</v>
      </c>
      <c r="C11" s="6">
        <v>10.0</v>
      </c>
      <c r="D11" s="6">
        <v>10.0</v>
      </c>
      <c r="E11" s="6">
        <v>10.0</v>
      </c>
      <c r="F11" s="6">
        <v>10.0</v>
      </c>
      <c r="G11" s="6">
        <v>10.0</v>
      </c>
      <c r="H11" s="6">
        <v>10.0</v>
      </c>
      <c r="I11" s="6">
        <v>10.0</v>
      </c>
      <c r="J11" s="6">
        <v>10.0</v>
      </c>
      <c r="K11" s="6">
        <v>10.0</v>
      </c>
      <c r="L11" s="6">
        <v>10.0</v>
      </c>
      <c r="M11" s="6">
        <v>10.0</v>
      </c>
      <c r="N11" s="24"/>
      <c r="O11" s="24">
        <f>M11*(1+الإفتراضات!$B$3)</f>
        <v>12.5</v>
      </c>
      <c r="P11" s="24">
        <f>O11*(1+الإفتراضات!$B$3)</f>
        <v>15.625</v>
      </c>
      <c r="Q11" s="24">
        <f>P11*(1+الإفتراضات!$B$3)</f>
        <v>19.53125</v>
      </c>
      <c r="R11" s="24">
        <f>Q11*(1+الإفتراضات!$B$3)</f>
        <v>24.4140625</v>
      </c>
      <c r="S11" s="7"/>
    </row>
    <row r="12" spans="8:8" ht="15.0" outlineLevel="1">
      <c r="A12" s="20" t="s">
        <v>22</v>
      </c>
      <c r="B12" s="6">
        <v>7.5</v>
      </c>
      <c r="C12" s="6">
        <v>7.5</v>
      </c>
      <c r="D12" s="6">
        <v>7.5</v>
      </c>
      <c r="E12" s="6">
        <v>7.5</v>
      </c>
      <c r="F12" s="6">
        <v>7.5</v>
      </c>
      <c r="G12" s="6">
        <v>7.5</v>
      </c>
      <c r="H12" s="6">
        <v>7.5</v>
      </c>
      <c r="I12" s="6">
        <v>7.5</v>
      </c>
      <c r="J12" s="6">
        <v>7.5</v>
      </c>
      <c r="K12" s="6">
        <v>7.5</v>
      </c>
      <c r="L12" s="6">
        <v>7.5</v>
      </c>
      <c r="M12" s="6">
        <v>7.5</v>
      </c>
      <c r="N12" s="25"/>
      <c r="O12" s="24">
        <f>M12*(1+الإفتراضات!$B$3)</f>
        <v>9.375</v>
      </c>
      <c r="P12" s="24">
        <f>O12*(1+الإفتراضات!$B$3)</f>
        <v>11.71875</v>
      </c>
      <c r="Q12" s="24">
        <f>P12*(1+الإفتراضات!$B$3)</f>
        <v>14.6484375</v>
      </c>
      <c r="R12" s="24">
        <f>Q12*(1+الإفتراضات!$B$3)</f>
        <v>18.310546875</v>
      </c>
      <c r="S12" s="7"/>
    </row>
    <row r="13" spans="8:8" ht="15.0" outlineLevel="1">
      <c r="A13" s="2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2"/>
    </row>
    <row r="14" spans="8:8" ht="15.0" outlineLevel="1">
      <c r="A14" s="20" t="s">
        <v>10</v>
      </c>
      <c r="B14" s="21">
        <f>B17*B16</f>
        <v>0.0</v>
      </c>
      <c r="C14" s="21">
        <f t="shared" si="19" ref="C14:M14">C17*C16</f>
        <v>0.0</v>
      </c>
      <c r="D14" s="21">
        <f t="shared" si="19"/>
        <v>0.0</v>
      </c>
      <c r="E14" s="21">
        <f t="shared" si="19"/>
        <v>0.0</v>
      </c>
      <c r="F14" s="21">
        <f t="shared" si="19"/>
        <v>0.0</v>
      </c>
      <c r="G14" s="21">
        <f t="shared" si="19"/>
        <v>0.0</v>
      </c>
      <c r="H14" s="21">
        <f t="shared" si="19"/>
        <v>0.0</v>
      </c>
      <c r="I14" s="21">
        <f t="shared" si="19"/>
        <v>0.0</v>
      </c>
      <c r="J14" s="21">
        <f t="shared" si="19"/>
        <v>0.0</v>
      </c>
      <c r="K14" s="21">
        <f t="shared" si="19"/>
        <v>0.0</v>
      </c>
      <c r="L14" s="21">
        <f t="shared" si="19"/>
        <v>0.0</v>
      </c>
      <c r="M14" s="21">
        <f t="shared" si="19"/>
        <v>0.0</v>
      </c>
      <c r="N14" s="21">
        <f>SUM(B14:M14)</f>
        <v>0.0</v>
      </c>
      <c r="O14" s="21">
        <f>O17*O16</f>
        <v>0.0</v>
      </c>
      <c r="P14" s="21">
        <f t="shared" si="20" ref="P14:R14">P17*P16</f>
        <v>0.0</v>
      </c>
      <c r="Q14" s="21">
        <f t="shared" si="20"/>
        <v>0.0</v>
      </c>
      <c r="R14" s="21">
        <f t="shared" si="20"/>
        <v>0.0</v>
      </c>
      <c r="S14" s="22">
        <f>SUM(N14:R14)</f>
        <v>0.0</v>
      </c>
    </row>
    <row r="15" spans="8:8" ht="15.0" outlineLevel="1">
      <c r="A15" s="20" t="s">
        <v>25</v>
      </c>
      <c r="B15" s="21">
        <f>B16*B18</f>
        <v>0.0</v>
      </c>
      <c r="C15" s="21">
        <f t="shared" si="21" ref="C15">C16*C18</f>
        <v>0.0</v>
      </c>
      <c r="D15" s="21">
        <f t="shared" si="22" ref="D15">D16*D18</f>
        <v>0.0</v>
      </c>
      <c r="E15" s="21">
        <f t="shared" si="23" ref="E15">E16*E18</f>
        <v>0.0</v>
      </c>
      <c r="F15" s="21">
        <f t="shared" si="24" ref="F15">F16*F18</f>
        <v>0.0</v>
      </c>
      <c r="G15" s="21">
        <f t="shared" si="25" ref="G15">G16*G18</f>
        <v>0.0</v>
      </c>
      <c r="H15" s="21">
        <f t="shared" si="26" ref="H15">H16*H18</f>
        <v>0.0</v>
      </c>
      <c r="I15" s="21">
        <f t="shared" si="27" ref="I15">I16*I18</f>
        <v>0.0</v>
      </c>
      <c r="J15" s="21">
        <f t="shared" si="28" ref="J15">J16*J18</f>
        <v>0.0</v>
      </c>
      <c r="K15" s="21">
        <f t="shared" si="29" ref="K15">K16*K18</f>
        <v>0.0</v>
      </c>
      <c r="L15" s="21">
        <f t="shared" si="30" ref="L15">L16*L18</f>
        <v>0.0</v>
      </c>
      <c r="M15" s="21">
        <f t="shared" si="31" ref="M15">M16*M18</f>
        <v>0.0</v>
      </c>
      <c r="N15" s="21">
        <f>SUM(B15:M15)</f>
        <v>0.0</v>
      </c>
      <c r="O15" s="21">
        <f>O18*O16</f>
        <v>0.0</v>
      </c>
      <c r="P15" s="21">
        <f t="shared" si="32" ref="P15:R15">P18*P16</f>
        <v>0.0</v>
      </c>
      <c r="Q15" s="21">
        <f t="shared" si="32"/>
        <v>0.0</v>
      </c>
      <c r="R15" s="21">
        <f t="shared" si="32"/>
        <v>0.0</v>
      </c>
      <c r="S15" s="22">
        <f>SUM(N15:R15)</f>
        <v>0.0</v>
      </c>
    </row>
    <row r="16" spans="8:8" ht="15.0" outlineLevel="1">
      <c r="A16" s="20" t="s">
        <v>7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24">
        <f>SUM(B16:M16)</f>
        <v>0.0</v>
      </c>
      <c r="O16" s="24">
        <f>M16*12*(الإفتراضات!$B$7+1)</f>
        <v>0.0</v>
      </c>
      <c r="P16" s="24">
        <f>O16*(الإفتراضات!$B$7+1)</f>
        <v>0.0</v>
      </c>
      <c r="Q16" s="24">
        <f>P16*(الإفتراضات!$B$7+1)</f>
        <v>0.0</v>
      </c>
      <c r="R16" s="24">
        <f>Q16*(الإفتراضات!$B$7+1)</f>
        <v>0.0</v>
      </c>
      <c r="S16" s="7"/>
    </row>
    <row r="17" spans="8:8" ht="15.0" outlineLevel="1">
      <c r="A17" s="20" t="s">
        <v>20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24"/>
      <c r="O17" s="24">
        <f>M17*(1+الإفتراضات!$B$3)</f>
        <v>0.0</v>
      </c>
      <c r="P17" s="24">
        <f>O17*(1+الإفتراضات!$B$3)</f>
        <v>0.0</v>
      </c>
      <c r="Q17" s="24">
        <f>P17*(1+الإفتراضات!$B$3)</f>
        <v>0.0</v>
      </c>
      <c r="R17" s="24">
        <f>Q17*(1+الإفتراضات!$B$3)</f>
        <v>0.0</v>
      </c>
      <c r="S17" s="7"/>
    </row>
    <row r="18" spans="8:8" ht="15.0" outlineLevel="1">
      <c r="A18" s="20" t="s">
        <v>22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25"/>
      <c r="O18" s="24">
        <f>M18*(1+الإفتراضات!$B$3)</f>
        <v>0.0</v>
      </c>
      <c r="P18" s="24">
        <f>O18*(1+الإفتراضات!$B$3)</f>
        <v>0.0</v>
      </c>
      <c r="Q18" s="24">
        <f>P18*(1+الإفتراضات!$B$3)</f>
        <v>0.0</v>
      </c>
      <c r="R18" s="24">
        <f>Q18*(1+الإفتراضات!$B$3)</f>
        <v>0.0</v>
      </c>
      <c r="S18" s="7"/>
    </row>
    <row r="19" spans="8:8" ht="15.0" outlineLevel="1">
      <c r="A19" s="20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7"/>
    </row>
    <row r="20" spans="8:8" ht="15.0" outlineLevel="1">
      <c r="A20" s="20" t="s">
        <v>11</v>
      </c>
      <c r="B20" s="21">
        <f>B23*B22</f>
        <v>0.0</v>
      </c>
      <c r="C20" s="21">
        <f t="shared" si="33" ref="C20:M20">C23*C22</f>
        <v>0.0</v>
      </c>
      <c r="D20" s="21">
        <f t="shared" si="33"/>
        <v>0.0</v>
      </c>
      <c r="E20" s="21">
        <f t="shared" si="33"/>
        <v>0.0</v>
      </c>
      <c r="F20" s="21">
        <f t="shared" si="33"/>
        <v>0.0</v>
      </c>
      <c r="G20" s="21">
        <f t="shared" si="33"/>
        <v>0.0</v>
      </c>
      <c r="H20" s="21">
        <f t="shared" si="33"/>
        <v>0.0</v>
      </c>
      <c r="I20" s="21">
        <f t="shared" si="33"/>
        <v>0.0</v>
      </c>
      <c r="J20" s="21">
        <f t="shared" si="33"/>
        <v>0.0</v>
      </c>
      <c r="K20" s="21">
        <f t="shared" si="33"/>
        <v>0.0</v>
      </c>
      <c r="L20" s="21">
        <f t="shared" si="33"/>
        <v>0.0</v>
      </c>
      <c r="M20" s="21">
        <f t="shared" si="33"/>
        <v>0.0</v>
      </c>
      <c r="N20" s="21">
        <f>SUM(B20:M20)</f>
        <v>0.0</v>
      </c>
      <c r="O20" s="21">
        <f>O23*O22</f>
        <v>0.0</v>
      </c>
      <c r="P20" s="21">
        <f t="shared" si="34" ref="P20:R20">P23*P22</f>
        <v>0.0</v>
      </c>
      <c r="Q20" s="21">
        <f t="shared" si="34"/>
        <v>0.0</v>
      </c>
      <c r="R20" s="21">
        <f t="shared" si="34"/>
        <v>0.0</v>
      </c>
      <c r="S20" s="22">
        <f>SUM(N20:R20)</f>
        <v>0.0</v>
      </c>
    </row>
    <row r="21" spans="8:8" ht="15.0" outlineLevel="1">
      <c r="A21" s="20" t="s">
        <v>26</v>
      </c>
      <c r="B21" s="21">
        <f>B22*B24</f>
        <v>0.0</v>
      </c>
      <c r="C21" s="21">
        <f t="shared" si="35" ref="C21">C22*C24</f>
        <v>0.0</v>
      </c>
      <c r="D21" s="21">
        <f t="shared" si="36" ref="D21">D22*D24</f>
        <v>0.0</v>
      </c>
      <c r="E21" s="21">
        <f t="shared" si="37" ref="E21">E22*E24</f>
        <v>0.0</v>
      </c>
      <c r="F21" s="21">
        <f t="shared" si="38" ref="F21">F22*F24</f>
        <v>0.0</v>
      </c>
      <c r="G21" s="21">
        <f t="shared" si="39" ref="G21">G22*G24</f>
        <v>0.0</v>
      </c>
      <c r="H21" s="21">
        <f t="shared" si="40" ref="H21">H22*H24</f>
        <v>0.0</v>
      </c>
      <c r="I21" s="21">
        <f t="shared" si="41" ref="I21">I22*I24</f>
        <v>0.0</v>
      </c>
      <c r="J21" s="21">
        <f t="shared" si="42" ref="J21">J22*J24</f>
        <v>0.0</v>
      </c>
      <c r="K21" s="21">
        <f t="shared" si="43" ref="K21">K22*K24</f>
        <v>0.0</v>
      </c>
      <c r="L21" s="21">
        <f t="shared" si="44" ref="L21">L22*L24</f>
        <v>0.0</v>
      </c>
      <c r="M21" s="21">
        <f t="shared" si="45" ref="M21">M22*M24</f>
        <v>0.0</v>
      </c>
      <c r="N21" s="21">
        <f>SUM(B21:M21)</f>
        <v>0.0</v>
      </c>
      <c r="O21" s="21">
        <f>O24*O22</f>
        <v>0.0</v>
      </c>
      <c r="P21" s="21">
        <f t="shared" si="46" ref="P21:R21">P24*P22</f>
        <v>0.0</v>
      </c>
      <c r="Q21" s="21">
        <f t="shared" si="46"/>
        <v>0.0</v>
      </c>
      <c r="R21" s="21">
        <f t="shared" si="46"/>
        <v>0.0</v>
      </c>
      <c r="S21" s="22">
        <f>SUM(N21:R21)</f>
        <v>0.0</v>
      </c>
    </row>
    <row r="22" spans="8:8" ht="15.0" outlineLevel="1">
      <c r="A22" s="20" t="s">
        <v>7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24">
        <f>SUM(B22:M22)</f>
        <v>0.0</v>
      </c>
      <c r="O22" s="24">
        <f>M22*12*(الإفتراضات!$B$7+1)</f>
        <v>0.0</v>
      </c>
      <c r="P22" s="24">
        <f>O22*(الإفتراضات!$B$7+1)</f>
        <v>0.0</v>
      </c>
      <c r="Q22" s="24">
        <f>P22*(الإفتراضات!$B$7+1)</f>
        <v>0.0</v>
      </c>
      <c r="R22" s="24">
        <f>Q22*(الإفتراضات!$B$7+1)</f>
        <v>0.0</v>
      </c>
      <c r="S22" s="7"/>
    </row>
    <row r="23" spans="8:8" ht="15.0" outlineLevel="1">
      <c r="A23" s="20" t="s">
        <v>20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24"/>
      <c r="O23" s="24">
        <f>M23*(1+الإفتراضات!$B$3)</f>
        <v>0.0</v>
      </c>
      <c r="P23" s="24">
        <f>O23*(1+الإفتراضات!$B$3)</f>
        <v>0.0</v>
      </c>
      <c r="Q23" s="24">
        <f>P23*(1+الإفتراضات!$B$3)</f>
        <v>0.0</v>
      </c>
      <c r="R23" s="24">
        <f>Q23*(1+الإفتراضات!$B$3)</f>
        <v>0.0</v>
      </c>
      <c r="S23" s="7"/>
    </row>
    <row r="24" spans="8:8" ht="15.0" outlineLevel="1">
      <c r="A24" s="20" t="s">
        <v>22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25"/>
      <c r="O24" s="24">
        <f>M24*(1+الإفتراضات!$B$3)</f>
        <v>0.0</v>
      </c>
      <c r="P24" s="24">
        <f>O24*(1+الإفتراضات!$B$3)</f>
        <v>0.0</v>
      </c>
      <c r="Q24" s="24">
        <f>P24*(1+الإفتراضات!$B$3)</f>
        <v>0.0</v>
      </c>
      <c r="R24" s="24">
        <f>Q24*(1+الإفتراضات!$B$3)</f>
        <v>0.0</v>
      </c>
      <c r="S24" s="7"/>
    </row>
    <row r="25" spans="8:8" ht="15.0" outlineLevel="1">
      <c r="A25" s="20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7"/>
    </row>
    <row r="26" spans="8:8" ht="15.0" outlineLevel="1">
      <c r="A26" s="20" t="s">
        <v>12</v>
      </c>
      <c r="B26" s="21">
        <f>B29*B28</f>
        <v>0.0</v>
      </c>
      <c r="C26" s="21">
        <f t="shared" si="47" ref="C26:M26">C29*C28</f>
        <v>0.0</v>
      </c>
      <c r="D26" s="21">
        <f t="shared" si="47"/>
        <v>0.0</v>
      </c>
      <c r="E26" s="21">
        <f t="shared" si="47"/>
        <v>0.0</v>
      </c>
      <c r="F26" s="21">
        <f t="shared" si="47"/>
        <v>0.0</v>
      </c>
      <c r="G26" s="21">
        <f t="shared" si="47"/>
        <v>0.0</v>
      </c>
      <c r="H26" s="21">
        <f t="shared" si="47"/>
        <v>0.0</v>
      </c>
      <c r="I26" s="21">
        <f t="shared" si="47"/>
        <v>0.0</v>
      </c>
      <c r="J26" s="21">
        <f t="shared" si="47"/>
        <v>0.0</v>
      </c>
      <c r="K26" s="21">
        <f t="shared" si="47"/>
        <v>0.0</v>
      </c>
      <c r="L26" s="21">
        <f t="shared" si="47"/>
        <v>0.0</v>
      </c>
      <c r="M26" s="21">
        <f t="shared" si="47"/>
        <v>0.0</v>
      </c>
      <c r="N26" s="21">
        <f>SUM(B26:M26)</f>
        <v>0.0</v>
      </c>
      <c r="O26" s="21">
        <f>O29*O28</f>
        <v>0.0</v>
      </c>
      <c r="P26" s="21">
        <f t="shared" si="48" ref="P26:R26">P29*P28</f>
        <v>0.0</v>
      </c>
      <c r="Q26" s="21">
        <f t="shared" si="48"/>
        <v>0.0</v>
      </c>
      <c r="R26" s="21">
        <f t="shared" si="48"/>
        <v>0.0</v>
      </c>
      <c r="S26" s="22">
        <f>SUM(N26:R26)</f>
        <v>0.0</v>
      </c>
    </row>
    <row r="27" spans="8:8" ht="15.0" outlineLevel="1">
      <c r="A27" s="20" t="s">
        <v>27</v>
      </c>
      <c r="B27" s="21">
        <f>B28*B30</f>
        <v>0.0</v>
      </c>
      <c r="C27" s="21">
        <f t="shared" si="49" ref="C27">C28*C30</f>
        <v>0.0</v>
      </c>
      <c r="D27" s="21">
        <f t="shared" si="50" ref="D27">D28*D30</f>
        <v>0.0</v>
      </c>
      <c r="E27" s="21">
        <f t="shared" si="51" ref="E27">E28*E30</f>
        <v>0.0</v>
      </c>
      <c r="F27" s="21">
        <f t="shared" si="52" ref="F27">F28*F30</f>
        <v>0.0</v>
      </c>
      <c r="G27" s="21">
        <f t="shared" si="53" ref="G27">G28*G30</f>
        <v>0.0</v>
      </c>
      <c r="H27" s="21">
        <f t="shared" si="54" ref="H27">H28*H30</f>
        <v>0.0</v>
      </c>
      <c r="I27" s="21">
        <f t="shared" si="55" ref="I27">I28*I30</f>
        <v>0.0</v>
      </c>
      <c r="J27" s="21">
        <f t="shared" si="56" ref="J27">J28*J30</f>
        <v>0.0</v>
      </c>
      <c r="K27" s="21">
        <f t="shared" si="57" ref="K27">K28*K30</f>
        <v>0.0</v>
      </c>
      <c r="L27" s="21">
        <f t="shared" si="58" ref="L27">L28*L30</f>
        <v>0.0</v>
      </c>
      <c r="M27" s="21">
        <f t="shared" si="59" ref="M27">M28*M30</f>
        <v>0.0</v>
      </c>
      <c r="N27" s="21">
        <f>SUM(B27:M27)</f>
        <v>0.0</v>
      </c>
      <c r="O27" s="21">
        <f>O30*O28</f>
        <v>0.0</v>
      </c>
      <c r="P27" s="21">
        <f t="shared" si="60" ref="P27:R27">P30*P28</f>
        <v>0.0</v>
      </c>
      <c r="Q27" s="21">
        <f t="shared" si="60"/>
        <v>0.0</v>
      </c>
      <c r="R27" s="21">
        <f t="shared" si="60"/>
        <v>0.0</v>
      </c>
      <c r="S27" s="22">
        <f>SUM(N27:R27)</f>
        <v>0.0</v>
      </c>
    </row>
    <row r="28" spans="8:8" ht="15.0" outlineLevel="1">
      <c r="A28" s="20" t="s">
        <v>7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24">
        <f>SUM(B28:M28)</f>
        <v>0.0</v>
      </c>
      <c r="O28" s="24">
        <f>M28*12*(الإفتراضات!$B$7+1)</f>
        <v>0.0</v>
      </c>
      <c r="P28" s="24">
        <f>O28*(الإفتراضات!$B$7+1)</f>
        <v>0.0</v>
      </c>
      <c r="Q28" s="24">
        <f>P28*(الإفتراضات!$B$7+1)</f>
        <v>0.0</v>
      </c>
      <c r="R28" s="24">
        <f>Q28*(الإفتراضات!$B$7+1)</f>
        <v>0.0</v>
      </c>
      <c r="S28" s="7"/>
    </row>
    <row r="29" spans="8:8" ht="15.0" outlineLevel="1">
      <c r="A29" s="20" t="s">
        <v>20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24"/>
      <c r="O29" s="24">
        <f>M29*(1+الإفتراضات!$B$3)</f>
        <v>0.0</v>
      </c>
      <c r="P29" s="24">
        <f>O29*(1+الإفتراضات!$B$3)</f>
        <v>0.0</v>
      </c>
      <c r="Q29" s="24">
        <f>P29*(1+الإفتراضات!$B$3)</f>
        <v>0.0</v>
      </c>
      <c r="R29" s="24">
        <f>Q29*(1+الإفتراضات!$B$3)</f>
        <v>0.0</v>
      </c>
      <c r="S29" s="7"/>
    </row>
    <row r="30" spans="8:8" ht="15.0" outlineLevel="1">
      <c r="A30" s="20" t="s">
        <v>22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25"/>
      <c r="O30" s="24">
        <f>M30*(1+الإفتراضات!$B$3)</f>
        <v>0.0</v>
      </c>
      <c r="P30" s="24">
        <f>O30*(1+الإفتراضات!$B$3)</f>
        <v>0.0</v>
      </c>
      <c r="Q30" s="24">
        <f>P30*(1+الإفتراضات!$B$3)</f>
        <v>0.0</v>
      </c>
      <c r="R30" s="24">
        <f>Q30*(1+الإفتراضات!$B$3)</f>
        <v>0.0</v>
      </c>
      <c r="S30" s="7"/>
    </row>
    <row r="31" spans="8:8" ht="15.0" outlineLevel="1">
      <c r="A31" s="20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7"/>
    </row>
    <row r="32" spans="8:8" ht="15.0" outlineLevel="1">
      <c r="A32" s="20" t="s">
        <v>13</v>
      </c>
      <c r="B32" s="21">
        <f>B35*B34</f>
        <v>0.0</v>
      </c>
      <c r="C32" s="21">
        <f t="shared" si="61" ref="C32:M32">C35*C34</f>
        <v>0.0</v>
      </c>
      <c r="D32" s="21">
        <f t="shared" si="61"/>
        <v>0.0</v>
      </c>
      <c r="E32" s="21">
        <f t="shared" si="61"/>
        <v>0.0</v>
      </c>
      <c r="F32" s="21">
        <f t="shared" si="61"/>
        <v>0.0</v>
      </c>
      <c r="G32" s="21">
        <f t="shared" si="61"/>
        <v>0.0</v>
      </c>
      <c r="H32" s="21">
        <f t="shared" si="61"/>
        <v>0.0</v>
      </c>
      <c r="I32" s="21">
        <f t="shared" si="61"/>
        <v>0.0</v>
      </c>
      <c r="J32" s="21">
        <f t="shared" si="61"/>
        <v>0.0</v>
      </c>
      <c r="K32" s="21">
        <f t="shared" si="61"/>
        <v>0.0</v>
      </c>
      <c r="L32" s="21">
        <f t="shared" si="61"/>
        <v>0.0</v>
      </c>
      <c r="M32" s="21">
        <f t="shared" si="61"/>
        <v>0.0</v>
      </c>
      <c r="N32" s="21">
        <f>SUM(B32:M32)</f>
        <v>0.0</v>
      </c>
      <c r="O32" s="21">
        <f>O35*O34</f>
        <v>0.0</v>
      </c>
      <c r="P32" s="21">
        <f t="shared" si="62" ref="P32:R32">P35*P34</f>
        <v>0.0</v>
      </c>
      <c r="Q32" s="21">
        <f t="shared" si="62"/>
        <v>0.0</v>
      </c>
      <c r="R32" s="21">
        <f t="shared" si="62"/>
        <v>0.0</v>
      </c>
      <c r="S32" s="22">
        <f>SUM(N32:R32)</f>
        <v>0.0</v>
      </c>
    </row>
    <row r="33" spans="8:8" ht="15.0" outlineLevel="1">
      <c r="A33" s="20" t="s">
        <v>28</v>
      </c>
      <c r="B33" s="21">
        <f>B34*B36</f>
        <v>0.0</v>
      </c>
      <c r="C33" s="21">
        <f t="shared" si="63" ref="C33">C34*C36</f>
        <v>0.0</v>
      </c>
      <c r="D33" s="21">
        <f t="shared" si="64" ref="D33">D34*D36</f>
        <v>0.0</v>
      </c>
      <c r="E33" s="21">
        <f t="shared" si="65" ref="E33">E34*E36</f>
        <v>0.0</v>
      </c>
      <c r="F33" s="21">
        <f t="shared" si="66" ref="F33">F34*F36</f>
        <v>0.0</v>
      </c>
      <c r="G33" s="21">
        <f t="shared" si="67" ref="G33">G34*G36</f>
        <v>0.0</v>
      </c>
      <c r="H33" s="21">
        <f t="shared" si="68" ref="H33">H34*H36</f>
        <v>0.0</v>
      </c>
      <c r="I33" s="21">
        <f t="shared" si="69" ref="I33">I34*I36</f>
        <v>0.0</v>
      </c>
      <c r="J33" s="21">
        <f t="shared" si="70" ref="J33">J34*J36</f>
        <v>0.0</v>
      </c>
      <c r="K33" s="21">
        <f t="shared" si="71" ref="K33">K34*K36</f>
        <v>0.0</v>
      </c>
      <c r="L33" s="21">
        <f t="shared" si="72" ref="L33">L34*L36</f>
        <v>0.0</v>
      </c>
      <c r="M33" s="21">
        <f t="shared" si="73" ref="M33">M34*M36</f>
        <v>0.0</v>
      </c>
      <c r="N33" s="21">
        <f>SUM(B33:M33)</f>
        <v>0.0</v>
      </c>
      <c r="O33" s="21">
        <f>O36*O34</f>
        <v>0.0</v>
      </c>
      <c r="P33" s="21">
        <f t="shared" si="74" ref="P33:R33">P36*P34</f>
        <v>0.0</v>
      </c>
      <c r="Q33" s="21">
        <f t="shared" si="74"/>
        <v>0.0</v>
      </c>
      <c r="R33" s="21">
        <f t="shared" si="74"/>
        <v>0.0</v>
      </c>
      <c r="S33" s="22">
        <f>SUM(N33:R33)</f>
        <v>0.0</v>
      </c>
    </row>
    <row r="34" spans="8:8" ht="15.0" outlineLevel="1">
      <c r="A34" s="20" t="s">
        <v>7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24">
        <f>SUM(B34:M34)</f>
        <v>0.0</v>
      </c>
      <c r="O34" s="24">
        <f>M34*12*(الإفتراضات!$B$7+1)</f>
        <v>0.0</v>
      </c>
      <c r="P34" s="24">
        <f>O34*(الإفتراضات!$B$7+1)</f>
        <v>0.0</v>
      </c>
      <c r="Q34" s="24">
        <f>P34*(الإفتراضات!$B$7+1)</f>
        <v>0.0</v>
      </c>
      <c r="R34" s="24">
        <f>Q34*(الإفتراضات!$B$7+1)</f>
        <v>0.0</v>
      </c>
      <c r="S34" s="7"/>
    </row>
    <row r="35" spans="8:8" ht="15.0" outlineLevel="1">
      <c r="A35" s="20" t="s">
        <v>20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24"/>
      <c r="O35" s="24">
        <f>M35*(1+الإفتراضات!$B$3)</f>
        <v>0.0</v>
      </c>
      <c r="P35" s="24">
        <f>O35*(1+الإفتراضات!$B$3)</f>
        <v>0.0</v>
      </c>
      <c r="Q35" s="24">
        <f>P35*(1+الإفتراضات!$B$3)</f>
        <v>0.0</v>
      </c>
      <c r="R35" s="24">
        <f>Q35*(1+الإفتراضات!$B$3)</f>
        <v>0.0</v>
      </c>
      <c r="S35" s="7"/>
    </row>
    <row r="36" spans="8:8" ht="15.0" outlineLevel="1">
      <c r="A36" s="20" t="s">
        <v>22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25"/>
      <c r="O36" s="24">
        <f>M36*(1+الإفتراضات!$B$3)</f>
        <v>0.0</v>
      </c>
      <c r="P36" s="24">
        <f>O36*(1+الإفتراضات!$B$3)</f>
        <v>0.0</v>
      </c>
      <c r="Q36" s="24">
        <f>P36*(1+الإفتراضات!$B$3)</f>
        <v>0.0</v>
      </c>
      <c r="R36" s="24">
        <f>Q36*(1+الإفتراضات!$B$3)</f>
        <v>0.0</v>
      </c>
      <c r="S36" s="7"/>
    </row>
    <row r="37" spans="8:8" ht="15.0" outlineLevel="1">
      <c r="A37" s="20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7"/>
    </row>
    <row r="38" spans="8:8" ht="15.0" outlineLevel="1">
      <c r="A38" s="20" t="s">
        <v>14</v>
      </c>
      <c r="B38" s="21">
        <f>B41*B40</f>
        <v>0.0</v>
      </c>
      <c r="C38" s="21">
        <f t="shared" si="75" ref="C38:M38">C41*C40</f>
        <v>0.0</v>
      </c>
      <c r="D38" s="21">
        <f t="shared" si="75"/>
        <v>0.0</v>
      </c>
      <c r="E38" s="21">
        <f t="shared" si="75"/>
        <v>0.0</v>
      </c>
      <c r="F38" s="21">
        <f t="shared" si="75"/>
        <v>0.0</v>
      </c>
      <c r="G38" s="21">
        <f t="shared" si="75"/>
        <v>0.0</v>
      </c>
      <c r="H38" s="21">
        <f t="shared" si="75"/>
        <v>0.0</v>
      </c>
      <c r="I38" s="21">
        <f t="shared" si="75"/>
        <v>0.0</v>
      </c>
      <c r="J38" s="21">
        <f t="shared" si="75"/>
        <v>0.0</v>
      </c>
      <c r="K38" s="21">
        <f t="shared" si="75"/>
        <v>0.0</v>
      </c>
      <c r="L38" s="21">
        <f t="shared" si="75"/>
        <v>0.0</v>
      </c>
      <c r="M38" s="21">
        <f t="shared" si="75"/>
        <v>0.0</v>
      </c>
      <c r="N38" s="21">
        <f>SUM(B38:M38)</f>
        <v>0.0</v>
      </c>
      <c r="O38" s="21">
        <f>O41*O40</f>
        <v>0.0</v>
      </c>
      <c r="P38" s="21">
        <f t="shared" si="76" ref="P38:R38">P41*P40</f>
        <v>0.0</v>
      </c>
      <c r="Q38" s="21">
        <f t="shared" si="76"/>
        <v>0.0</v>
      </c>
      <c r="R38" s="21">
        <f t="shared" si="76"/>
        <v>0.0</v>
      </c>
      <c r="S38" s="22">
        <f>SUM(N38:R38)</f>
        <v>0.0</v>
      </c>
    </row>
    <row r="39" spans="8:8" ht="15.0" outlineLevel="1">
      <c r="A39" s="20" t="s">
        <v>29</v>
      </c>
      <c r="B39" s="21">
        <f>B40*B42</f>
        <v>0.0</v>
      </c>
      <c r="C39" s="21">
        <f t="shared" si="77" ref="C39">C40*C42</f>
        <v>0.0</v>
      </c>
      <c r="D39" s="21">
        <f t="shared" si="78" ref="D39">D40*D42</f>
        <v>0.0</v>
      </c>
      <c r="E39" s="21">
        <f t="shared" si="79" ref="E39">E40*E42</f>
        <v>0.0</v>
      </c>
      <c r="F39" s="21">
        <f t="shared" si="80" ref="F39">F40*F42</f>
        <v>0.0</v>
      </c>
      <c r="G39" s="21">
        <f t="shared" si="81" ref="G39">G40*G42</f>
        <v>0.0</v>
      </c>
      <c r="H39" s="21">
        <f t="shared" si="82" ref="H39">H40*H42</f>
        <v>0.0</v>
      </c>
      <c r="I39" s="21">
        <f t="shared" si="83" ref="I39">I40*I42</f>
        <v>0.0</v>
      </c>
      <c r="J39" s="21">
        <f t="shared" si="84" ref="J39">J40*J42</f>
        <v>0.0</v>
      </c>
      <c r="K39" s="21">
        <f t="shared" si="85" ref="K39">K40*K42</f>
        <v>0.0</v>
      </c>
      <c r="L39" s="21">
        <f t="shared" si="86" ref="L39">L40*L42</f>
        <v>0.0</v>
      </c>
      <c r="M39" s="21">
        <f t="shared" si="87" ref="M39">M40*M42</f>
        <v>0.0</v>
      </c>
      <c r="N39" s="21">
        <f>SUM(B39:M39)</f>
        <v>0.0</v>
      </c>
      <c r="O39" s="21">
        <f>O42*O40</f>
        <v>0.0</v>
      </c>
      <c r="P39" s="21">
        <f t="shared" si="88" ref="P39:R39">P42*P40</f>
        <v>0.0</v>
      </c>
      <c r="Q39" s="21">
        <f t="shared" si="88"/>
        <v>0.0</v>
      </c>
      <c r="R39" s="21">
        <f t="shared" si="88"/>
        <v>0.0</v>
      </c>
      <c r="S39" s="22">
        <f>SUM(N39:R39)</f>
        <v>0.0</v>
      </c>
    </row>
    <row r="40" spans="8:8" ht="15.0" outlineLevel="1">
      <c r="A40" s="20" t="s">
        <v>7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24">
        <f>SUM(B40:M40)</f>
        <v>0.0</v>
      </c>
      <c r="O40" s="24">
        <f>M40*12*(الإفتراضات!$B$7+1)</f>
        <v>0.0</v>
      </c>
      <c r="P40" s="24">
        <f>O40*(الإفتراضات!$B$7+1)</f>
        <v>0.0</v>
      </c>
      <c r="Q40" s="24">
        <f>P40*(الإفتراضات!$B$7+1)</f>
        <v>0.0</v>
      </c>
      <c r="R40" s="24">
        <f>Q40*(الإفتراضات!$B$7+1)</f>
        <v>0.0</v>
      </c>
      <c r="S40" s="7"/>
    </row>
    <row r="41" spans="8:8" ht="15.0" outlineLevel="1">
      <c r="A41" s="20" t="s">
        <v>20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24"/>
      <c r="O41" s="24">
        <f>M41*(1+الإفتراضات!$B$3)</f>
        <v>0.0</v>
      </c>
      <c r="P41" s="24">
        <f>O41*(1+الإفتراضات!$B$3)</f>
        <v>0.0</v>
      </c>
      <c r="Q41" s="24">
        <f>P41*(1+الإفتراضات!$B$3)</f>
        <v>0.0</v>
      </c>
      <c r="R41" s="24">
        <f>Q41*(1+الإفتراضات!$B$3)</f>
        <v>0.0</v>
      </c>
      <c r="S41" s="7"/>
    </row>
    <row r="42" spans="8:8" ht="15.0" outlineLevel="1">
      <c r="A42" s="20" t="s">
        <v>22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25"/>
      <c r="O42" s="24">
        <f>M42*(1+الإفتراضات!$B$3)</f>
        <v>0.0</v>
      </c>
      <c r="P42" s="24">
        <f>O42*(1+الإفتراضات!$B$3)</f>
        <v>0.0</v>
      </c>
      <c r="Q42" s="24">
        <f>P42*(1+الإفتراضات!$B$3)</f>
        <v>0.0</v>
      </c>
      <c r="R42" s="24">
        <f>Q42*(1+الإفتراضات!$B$3)</f>
        <v>0.0</v>
      </c>
      <c r="S42" s="7"/>
    </row>
    <row r="43" spans="8:8" ht="15.0" outlineLevel="1">
      <c r="A43" s="20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7"/>
    </row>
    <row r="44" spans="8:8" ht="15.0" outlineLevel="1">
      <c r="A44" s="20" t="s">
        <v>15</v>
      </c>
      <c r="B44" s="21">
        <f>B47*B46</f>
        <v>0.0</v>
      </c>
      <c r="C44" s="21">
        <f t="shared" si="89" ref="C44:M44">C47*C46</f>
        <v>0.0</v>
      </c>
      <c r="D44" s="21">
        <f t="shared" si="89"/>
        <v>0.0</v>
      </c>
      <c r="E44" s="21">
        <f t="shared" si="89"/>
        <v>0.0</v>
      </c>
      <c r="F44" s="21">
        <f t="shared" si="89"/>
        <v>0.0</v>
      </c>
      <c r="G44" s="21">
        <f t="shared" si="89"/>
        <v>0.0</v>
      </c>
      <c r="H44" s="21">
        <f t="shared" si="89"/>
        <v>0.0</v>
      </c>
      <c r="I44" s="21">
        <f t="shared" si="89"/>
        <v>0.0</v>
      </c>
      <c r="J44" s="21">
        <f t="shared" si="89"/>
        <v>0.0</v>
      </c>
      <c r="K44" s="21">
        <f t="shared" si="89"/>
        <v>0.0</v>
      </c>
      <c r="L44" s="21">
        <f t="shared" si="89"/>
        <v>0.0</v>
      </c>
      <c r="M44" s="21">
        <f t="shared" si="89"/>
        <v>0.0</v>
      </c>
      <c r="N44" s="21">
        <f>SUM(B44:M44)</f>
        <v>0.0</v>
      </c>
      <c r="O44" s="21">
        <f>O47*O46</f>
        <v>0.0</v>
      </c>
      <c r="P44" s="21">
        <f t="shared" si="90" ref="P44:R44">P47*P46</f>
        <v>0.0</v>
      </c>
      <c r="Q44" s="21">
        <f t="shared" si="90"/>
        <v>0.0</v>
      </c>
      <c r="R44" s="21">
        <f t="shared" si="90"/>
        <v>0.0</v>
      </c>
      <c r="S44" s="22">
        <f>SUM(N44:R44)</f>
        <v>0.0</v>
      </c>
    </row>
    <row r="45" spans="8:8" ht="15.0" outlineLevel="1">
      <c r="A45" s="20" t="s">
        <v>30</v>
      </c>
      <c r="B45" s="21">
        <f>B46*B48</f>
        <v>0.0</v>
      </c>
      <c r="C45" s="21">
        <f t="shared" si="91" ref="C45">C46*C48</f>
        <v>0.0</v>
      </c>
      <c r="D45" s="21">
        <f t="shared" si="92" ref="D45">D46*D48</f>
        <v>0.0</v>
      </c>
      <c r="E45" s="21">
        <f t="shared" si="93" ref="E45">E46*E48</f>
        <v>0.0</v>
      </c>
      <c r="F45" s="21">
        <f t="shared" si="94" ref="F45">F46*F48</f>
        <v>0.0</v>
      </c>
      <c r="G45" s="21">
        <f t="shared" si="95" ref="G45">G46*G48</f>
        <v>0.0</v>
      </c>
      <c r="H45" s="21">
        <f t="shared" si="96" ref="H45">H46*H48</f>
        <v>0.0</v>
      </c>
      <c r="I45" s="21">
        <f t="shared" si="97" ref="I45">I46*I48</f>
        <v>0.0</v>
      </c>
      <c r="J45" s="21">
        <f t="shared" si="98" ref="J45">J46*J48</f>
        <v>0.0</v>
      </c>
      <c r="K45" s="21">
        <f t="shared" si="99" ref="K45">K46*K48</f>
        <v>0.0</v>
      </c>
      <c r="L45" s="21">
        <f t="shared" si="100" ref="L45">L46*L48</f>
        <v>0.0</v>
      </c>
      <c r="M45" s="21">
        <f t="shared" si="101" ref="M45">M46*M48</f>
        <v>0.0</v>
      </c>
      <c r="N45" s="21">
        <f>SUM(B45:M45)</f>
        <v>0.0</v>
      </c>
      <c r="O45" s="21">
        <f>O48*O46</f>
        <v>0.0</v>
      </c>
      <c r="P45" s="21">
        <f t="shared" si="102" ref="P45:R45">P48*P46</f>
        <v>0.0</v>
      </c>
      <c r="Q45" s="21">
        <f t="shared" si="102"/>
        <v>0.0</v>
      </c>
      <c r="R45" s="21">
        <f t="shared" si="102"/>
        <v>0.0</v>
      </c>
      <c r="S45" s="22">
        <f>SUM(N45:R45)</f>
        <v>0.0</v>
      </c>
    </row>
    <row r="46" spans="8:8" ht="15.0" outlineLevel="1">
      <c r="A46" s="20" t="s">
        <v>7</v>
      </c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24">
        <f>SUM(B46:M46)</f>
        <v>0.0</v>
      </c>
      <c r="O46" s="24">
        <f>M46*12*(الإفتراضات!$B$7+1)</f>
        <v>0.0</v>
      </c>
      <c r="P46" s="24">
        <f>O46*(الإفتراضات!$B$7+1)</f>
        <v>0.0</v>
      </c>
      <c r="Q46" s="24">
        <f>P46*(الإفتراضات!$B$7+1)</f>
        <v>0.0</v>
      </c>
      <c r="R46" s="24">
        <f>Q46*(الإفتراضات!$B$7+1)</f>
        <v>0.0</v>
      </c>
      <c r="S46" s="7"/>
    </row>
    <row r="47" spans="8:8" ht="15.0" outlineLevel="1">
      <c r="A47" s="20" t="s">
        <v>20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24"/>
      <c r="O47" s="24">
        <f>M47*(1+الإفتراضات!$B$3)</f>
        <v>0.0</v>
      </c>
      <c r="P47" s="24">
        <f>O47*(1+الإفتراضات!$B$3)</f>
        <v>0.0</v>
      </c>
      <c r="Q47" s="24">
        <f>P47*(1+الإفتراضات!$B$3)</f>
        <v>0.0</v>
      </c>
      <c r="R47" s="24">
        <f>Q47*(1+الإفتراضات!$B$3)</f>
        <v>0.0</v>
      </c>
      <c r="S47" s="7"/>
    </row>
    <row r="48" spans="8:8" ht="15.0" outlineLevel="1">
      <c r="A48" s="20" t="s">
        <v>22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25"/>
      <c r="O48" s="24">
        <f>M48*(1+الإفتراضات!$B$3)</f>
        <v>0.0</v>
      </c>
      <c r="P48" s="24">
        <f>O48*(1+الإفتراضات!$B$3)</f>
        <v>0.0</v>
      </c>
      <c r="Q48" s="24">
        <f>P48*(1+الإفتراضات!$B$3)</f>
        <v>0.0</v>
      </c>
      <c r="R48" s="24">
        <f>Q48*(1+الإفتراضات!$B$3)</f>
        <v>0.0</v>
      </c>
      <c r="S48" s="7"/>
    </row>
    <row r="49" spans="8:8" ht="15.0" outlineLevel="1">
      <c r="A49" s="20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7"/>
    </row>
    <row r="50" spans="8:8" ht="15.0" outlineLevel="1">
      <c r="A50" s="20" t="s">
        <v>16</v>
      </c>
      <c r="B50" s="21">
        <f>B53*B52</f>
        <v>0.0</v>
      </c>
      <c r="C50" s="21">
        <f t="shared" si="103" ref="C50:M50">C53*C52</f>
        <v>0.0</v>
      </c>
      <c r="D50" s="21">
        <f t="shared" si="103"/>
        <v>0.0</v>
      </c>
      <c r="E50" s="21">
        <f t="shared" si="103"/>
        <v>0.0</v>
      </c>
      <c r="F50" s="21">
        <f t="shared" si="103"/>
        <v>0.0</v>
      </c>
      <c r="G50" s="21">
        <f t="shared" si="103"/>
        <v>0.0</v>
      </c>
      <c r="H50" s="21">
        <f t="shared" si="103"/>
        <v>0.0</v>
      </c>
      <c r="I50" s="21">
        <f t="shared" si="103"/>
        <v>0.0</v>
      </c>
      <c r="J50" s="21">
        <f t="shared" si="103"/>
        <v>0.0</v>
      </c>
      <c r="K50" s="21">
        <f t="shared" si="103"/>
        <v>0.0</v>
      </c>
      <c r="L50" s="21">
        <f t="shared" si="103"/>
        <v>0.0</v>
      </c>
      <c r="M50" s="21">
        <f t="shared" si="103"/>
        <v>0.0</v>
      </c>
      <c r="N50" s="21">
        <f>SUM(B50:M50)</f>
        <v>0.0</v>
      </c>
      <c r="O50" s="21">
        <f>O53*O52</f>
        <v>0.0</v>
      </c>
      <c r="P50" s="21">
        <f t="shared" si="104" ref="P50:R50">P53*P52</f>
        <v>0.0</v>
      </c>
      <c r="Q50" s="21">
        <f t="shared" si="104"/>
        <v>0.0</v>
      </c>
      <c r="R50" s="21">
        <f t="shared" si="104"/>
        <v>0.0</v>
      </c>
      <c r="S50" s="22">
        <f>SUM(N50:R50)</f>
        <v>0.0</v>
      </c>
    </row>
    <row r="51" spans="8:8" ht="15.0" outlineLevel="1">
      <c r="A51" s="20" t="s">
        <v>31</v>
      </c>
      <c r="B51" s="21">
        <f>B52*B54</f>
        <v>0.0</v>
      </c>
      <c r="C51" s="21">
        <f t="shared" si="105" ref="C51">C52*C54</f>
        <v>0.0</v>
      </c>
      <c r="D51" s="21">
        <f t="shared" si="106" ref="D51">D52*D54</f>
        <v>0.0</v>
      </c>
      <c r="E51" s="21">
        <f t="shared" si="107" ref="E51">E52*E54</f>
        <v>0.0</v>
      </c>
      <c r="F51" s="21">
        <f t="shared" si="108" ref="F51">F52*F54</f>
        <v>0.0</v>
      </c>
      <c r="G51" s="21">
        <f t="shared" si="109" ref="G51">G52*G54</f>
        <v>0.0</v>
      </c>
      <c r="H51" s="21">
        <f t="shared" si="110" ref="H51">H52*H54</f>
        <v>0.0</v>
      </c>
      <c r="I51" s="21">
        <f t="shared" si="111" ref="I51">I52*I54</f>
        <v>0.0</v>
      </c>
      <c r="J51" s="21">
        <f t="shared" si="112" ref="J51">J52*J54</f>
        <v>0.0</v>
      </c>
      <c r="K51" s="21">
        <f t="shared" si="113" ref="K51">K52*K54</f>
        <v>0.0</v>
      </c>
      <c r="L51" s="21">
        <f t="shared" si="114" ref="L51">L52*L54</f>
        <v>0.0</v>
      </c>
      <c r="M51" s="21">
        <f t="shared" si="115" ref="M51">M52*M54</f>
        <v>0.0</v>
      </c>
      <c r="N51" s="21">
        <f>SUM(B51:M51)</f>
        <v>0.0</v>
      </c>
      <c r="O51" s="21">
        <f>O54*O52</f>
        <v>0.0</v>
      </c>
      <c r="P51" s="21">
        <f t="shared" si="116" ref="P51:R51">P54*P52</f>
        <v>0.0</v>
      </c>
      <c r="Q51" s="21">
        <f t="shared" si="116"/>
        <v>0.0</v>
      </c>
      <c r="R51" s="21">
        <f t="shared" si="116"/>
        <v>0.0</v>
      </c>
      <c r="S51" s="22">
        <f>SUM(N51:R51)</f>
        <v>0.0</v>
      </c>
    </row>
    <row r="52" spans="8:8" ht="15.0" outlineLevel="1">
      <c r="A52" s="20" t="s">
        <v>7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24">
        <f>SUM(B52:M52)</f>
        <v>0.0</v>
      </c>
      <c r="O52" s="24">
        <f>M52*12*(الإفتراضات!$B$7+1)</f>
        <v>0.0</v>
      </c>
      <c r="P52" s="24">
        <f>O52*(الإفتراضات!$B$7+1)</f>
        <v>0.0</v>
      </c>
      <c r="Q52" s="24">
        <f>P52*(الإفتراضات!$B$7+1)</f>
        <v>0.0</v>
      </c>
      <c r="R52" s="24">
        <f>Q52*(الإفتراضات!$B$7+1)</f>
        <v>0.0</v>
      </c>
      <c r="S52" s="7"/>
    </row>
    <row r="53" spans="8:8" ht="15.0" outlineLevel="1">
      <c r="A53" s="20" t="s">
        <v>20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24"/>
      <c r="O53" s="24">
        <f>M53*(1+الإفتراضات!$B$3)</f>
        <v>0.0</v>
      </c>
      <c r="P53" s="24">
        <f>O53*(1+الإفتراضات!$B$3)</f>
        <v>0.0</v>
      </c>
      <c r="Q53" s="24">
        <f>P53*(1+الإفتراضات!$B$3)</f>
        <v>0.0</v>
      </c>
      <c r="R53" s="24">
        <f>Q53*(1+الإفتراضات!$B$3)</f>
        <v>0.0</v>
      </c>
      <c r="S53" s="7"/>
    </row>
    <row r="54" spans="8:8" ht="15.0" outlineLevel="1">
      <c r="A54" s="20" t="s">
        <v>22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25"/>
      <c r="O54" s="24">
        <f>M54*(1+الإفتراضات!$B$3)</f>
        <v>0.0</v>
      </c>
      <c r="P54" s="24">
        <f>O54*(1+الإفتراضات!$B$3)</f>
        <v>0.0</v>
      </c>
      <c r="Q54" s="24">
        <f>P54*(1+الإفتراضات!$B$3)</f>
        <v>0.0</v>
      </c>
      <c r="R54" s="24">
        <f>Q54*(1+الإفتراضات!$B$3)</f>
        <v>0.0</v>
      </c>
      <c r="S54" s="7"/>
    </row>
    <row r="55" spans="8:8" ht="15.0" outlineLevel="1">
      <c r="A55" s="20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7"/>
    </row>
    <row r="56" spans="8:8" ht="15.0" outlineLevel="1">
      <c r="A56" s="20" t="s">
        <v>17</v>
      </c>
      <c r="B56" s="21">
        <f>B59*B58</f>
        <v>0.0</v>
      </c>
      <c r="C56" s="21">
        <f t="shared" si="117" ref="C56:M56">C59*C58</f>
        <v>0.0</v>
      </c>
      <c r="D56" s="21">
        <f t="shared" si="117"/>
        <v>0.0</v>
      </c>
      <c r="E56" s="21">
        <f t="shared" si="117"/>
        <v>0.0</v>
      </c>
      <c r="F56" s="21">
        <f t="shared" si="117"/>
        <v>0.0</v>
      </c>
      <c r="G56" s="21">
        <f t="shared" si="117"/>
        <v>0.0</v>
      </c>
      <c r="H56" s="21">
        <f t="shared" si="117"/>
        <v>0.0</v>
      </c>
      <c r="I56" s="21">
        <f t="shared" si="117"/>
        <v>0.0</v>
      </c>
      <c r="J56" s="21">
        <f t="shared" si="117"/>
        <v>0.0</v>
      </c>
      <c r="K56" s="21">
        <f t="shared" si="117"/>
        <v>0.0</v>
      </c>
      <c r="L56" s="21">
        <f t="shared" si="117"/>
        <v>0.0</v>
      </c>
      <c r="M56" s="21">
        <f t="shared" si="117"/>
        <v>0.0</v>
      </c>
      <c r="N56" s="21">
        <f>SUM(B56:M56)</f>
        <v>0.0</v>
      </c>
      <c r="O56" s="21">
        <f>O59*O58</f>
        <v>0.0</v>
      </c>
      <c r="P56" s="21">
        <f t="shared" si="118" ref="P56:R56">P59*P58</f>
        <v>0.0</v>
      </c>
      <c r="Q56" s="21">
        <f t="shared" si="118"/>
        <v>0.0</v>
      </c>
      <c r="R56" s="21">
        <f t="shared" si="118"/>
        <v>0.0</v>
      </c>
      <c r="S56" s="22">
        <f>SUM(N56:R56)</f>
        <v>0.0</v>
      </c>
    </row>
    <row r="57" spans="8:8" ht="15.0" outlineLevel="1">
      <c r="A57" s="20" t="s">
        <v>32</v>
      </c>
      <c r="B57" s="21">
        <f>B58*B60</f>
        <v>0.0</v>
      </c>
      <c r="C57" s="21">
        <f t="shared" si="119" ref="C57">C58*C60</f>
        <v>0.0</v>
      </c>
      <c r="D57" s="21">
        <f t="shared" si="120" ref="D57">D58*D60</f>
        <v>0.0</v>
      </c>
      <c r="E57" s="21">
        <f t="shared" si="121" ref="E57">E58*E60</f>
        <v>0.0</v>
      </c>
      <c r="F57" s="21">
        <f t="shared" si="122" ref="F57">F58*F60</f>
        <v>0.0</v>
      </c>
      <c r="G57" s="21">
        <f t="shared" si="123" ref="G57">G58*G60</f>
        <v>0.0</v>
      </c>
      <c r="H57" s="21">
        <f t="shared" si="124" ref="H57">H58*H60</f>
        <v>0.0</v>
      </c>
      <c r="I57" s="21">
        <f t="shared" si="125" ref="I57">I58*I60</f>
        <v>0.0</v>
      </c>
      <c r="J57" s="21">
        <f t="shared" si="126" ref="J57">J58*J60</f>
        <v>0.0</v>
      </c>
      <c r="K57" s="21">
        <f t="shared" si="127" ref="K57">K58*K60</f>
        <v>0.0</v>
      </c>
      <c r="L57" s="21">
        <f t="shared" si="128" ref="L57">L58*L60</f>
        <v>0.0</v>
      </c>
      <c r="M57" s="21">
        <f t="shared" si="129" ref="M57">M58*M60</f>
        <v>0.0</v>
      </c>
      <c r="N57" s="21">
        <f>SUM(B57:M57)</f>
        <v>0.0</v>
      </c>
      <c r="O57" s="21">
        <f>O60*O58</f>
        <v>0.0</v>
      </c>
      <c r="P57" s="21">
        <f t="shared" si="130" ref="P57:R57">P60*P58</f>
        <v>0.0</v>
      </c>
      <c r="Q57" s="21">
        <f t="shared" si="130"/>
        <v>0.0</v>
      </c>
      <c r="R57" s="21">
        <f t="shared" si="130"/>
        <v>0.0</v>
      </c>
      <c r="S57" s="22">
        <f>SUM(N57:R57)</f>
        <v>0.0</v>
      </c>
    </row>
    <row r="58" spans="8:8" ht="15.0" outlineLevel="1">
      <c r="A58" s="20" t="s">
        <v>7</v>
      </c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24">
        <f>SUM(B58:M58)</f>
        <v>0.0</v>
      </c>
      <c r="O58" s="24">
        <f>M58*12*(الإفتراضات!$B$7+1)</f>
        <v>0.0</v>
      </c>
      <c r="P58" s="24">
        <f>O58*(الإفتراضات!$B$7+1)</f>
        <v>0.0</v>
      </c>
      <c r="Q58" s="24">
        <f>P58*(الإفتراضات!$B$7+1)</f>
        <v>0.0</v>
      </c>
      <c r="R58" s="24">
        <f>Q58*(الإفتراضات!$B$7+1)</f>
        <v>0.0</v>
      </c>
      <c r="S58" s="7"/>
    </row>
    <row r="59" spans="8:8" ht="15.0" outlineLevel="1">
      <c r="A59" s="20" t="s">
        <v>20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24"/>
      <c r="O59" s="24">
        <f>M59*(1+الإفتراضات!$B$3)</f>
        <v>0.0</v>
      </c>
      <c r="P59" s="24">
        <f>O59*(1+الإفتراضات!$B$3)</f>
        <v>0.0</v>
      </c>
      <c r="Q59" s="24">
        <f>P59*(1+الإفتراضات!$B$3)</f>
        <v>0.0</v>
      </c>
      <c r="R59" s="24">
        <f>Q59*(1+الإفتراضات!$B$3)</f>
        <v>0.0</v>
      </c>
      <c r="S59" s="7"/>
    </row>
    <row r="60" spans="8:8" ht="15.0" outlineLevel="1">
      <c r="A60" s="26" t="s">
        <v>22</v>
      </c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8"/>
      <c r="O60" s="29">
        <f>M60*(1+الإفتراضات!$B$3)</f>
        <v>0.0</v>
      </c>
      <c r="P60" s="29">
        <f>O60*(1+الإفتراضات!$B$3)</f>
        <v>0.0</v>
      </c>
      <c r="Q60" s="29">
        <f>P60*(1+الإفتراضات!$B$3)</f>
        <v>0.0</v>
      </c>
      <c r="R60" s="29">
        <f>Q60*(1+الإفتراضات!$B$3)</f>
        <v>0.0</v>
      </c>
      <c r="S60" s="15"/>
    </row>
    <row r="61" spans="8:8">
      <c r="N61" s="30" t="s">
        <v>1</v>
      </c>
      <c r="O61" s="30" t="s">
        <v>2</v>
      </c>
      <c r="P61" s="30" t="s">
        <v>3</v>
      </c>
      <c r="Q61" s="30" t="s">
        <v>4</v>
      </c>
      <c r="R61" s="30" t="s">
        <v>5</v>
      </c>
      <c r="S61" s="30" t="s">
        <v>19</v>
      </c>
    </row>
    <row r="62" spans="8:8">
      <c r="A62" s="31" t="s">
        <v>18</v>
      </c>
      <c r="B62" s="32">
        <f>B2+B8+B14+B20+B26+B32+B38+B38+B44+B50+B56</f>
        <v>5187.5</v>
      </c>
      <c r="C62" s="32">
        <f>C2+C8+C14+C20+C26+C32+C38+C38+C44+C50+C56</f>
        <v>5512.5</v>
      </c>
      <c r="D62" s="32">
        <f>D2+D8+D14+D20+D26+D32+D38+D38+D44+D50+D56</f>
        <v>5837.5</v>
      </c>
      <c r="E62" s="32">
        <f>E2+E8+E14+E20+E26+E32+E38+E38+E44+E50+E56</f>
        <v>6162.5</v>
      </c>
      <c r="F62" s="32">
        <f>F2+F8+F14+F20+F26+F32+F38+F38+F44+F50+F56</f>
        <v>6487.5</v>
      </c>
      <c r="G62" s="32" t="e">
        <f>G2+#REF!+G14+G20+G26+G32+G38+G38+G44+G50+G56</f>
        <v>#REF!</v>
      </c>
      <c r="H62" s="32">
        <f>H2+H8+H14+H20+H26+H32+H38+H38+H44+H50+H56</f>
        <v>7137.5</v>
      </c>
      <c r="I62" s="32">
        <f>I2+I8+I14+I20+I26+I32+I38+I38+I44+I50+I56</f>
        <v>7462.5</v>
      </c>
      <c r="J62" s="32">
        <f>J2+J8+J14+J20+J26+J32+J38+J38+J44+J50+J56</f>
        <v>7787.5</v>
      </c>
      <c r="K62" s="32">
        <f>K2+K8+K14+K20+K26+K32+K38+K38+K44+K50+K56</f>
        <v>8112.5</v>
      </c>
      <c r="L62" s="32">
        <f>L2+L8+L14+L20+L26+L32+L38+L38+L44+L50+L56</f>
        <v>8437.5</v>
      </c>
      <c r="M62" s="32">
        <f>M2+M8+M14+M20+M26+M32+M38+M38+M44+M50+M56</f>
        <v>8762.5</v>
      </c>
      <c r="N62" s="32">
        <f>N2+N8+N14+N20+N26+N32+N38+N38+N44+N50+N56</f>
        <v>80200.0</v>
      </c>
      <c r="O62" s="32">
        <f t="shared" si="131" ref="O62:R62">O2+O8+O14+O20+O26+O32+O38+O38+O44+O50+O56</f>
        <v>164296.875</v>
      </c>
      <c r="P62" s="32">
        <f t="shared" si="131"/>
        <v>256713.8671875</v>
      </c>
      <c r="Q62" s="32">
        <f t="shared" si="131"/>
        <v>401115.417480469</v>
      </c>
      <c r="R62" s="32">
        <f t="shared" si="131"/>
        <v>626742.839813232</v>
      </c>
      <c r="S62" s="32">
        <f>SUM(N62:R62)</f>
        <v>1529068.999481201</v>
      </c>
      <c r="T62" s="33">
        <f>S62/S62</f>
        <v>1.0</v>
      </c>
    </row>
    <row r="63" spans="8:8">
      <c r="A63" s="20" t="s">
        <v>23</v>
      </c>
      <c r="B63" s="34">
        <f t="shared" si="132" ref="B63:N63">B3+B9+B15+B21+B27+B33+B39+B39+B45+B51+B57</f>
        <v>3595.0</v>
      </c>
      <c r="C63" s="34">
        <f t="shared" si="132"/>
        <v>3825.0</v>
      </c>
      <c r="D63" s="34">
        <f t="shared" si="132"/>
        <v>4055.0</v>
      </c>
      <c r="E63" s="34">
        <f t="shared" si="132"/>
        <v>4285.0</v>
      </c>
      <c r="F63" s="34">
        <f t="shared" si="132"/>
        <v>4515.0</v>
      </c>
      <c r="G63" s="34">
        <f t="shared" si="132"/>
        <v>4745.0</v>
      </c>
      <c r="H63" s="34">
        <f t="shared" si="132"/>
        <v>4975.0</v>
      </c>
      <c r="I63" s="34">
        <f t="shared" si="132"/>
        <v>5205.0</v>
      </c>
      <c r="J63" s="34">
        <f t="shared" si="132"/>
        <v>5435.0</v>
      </c>
      <c r="K63" s="34">
        <f t="shared" si="132"/>
        <v>5665.0</v>
      </c>
      <c r="L63" s="34">
        <f t="shared" si="132"/>
        <v>5895.0</v>
      </c>
      <c r="M63" s="34">
        <f t="shared" si="132"/>
        <v>6125.0</v>
      </c>
      <c r="N63" s="34">
        <f t="shared" si="132"/>
        <v>58320.0</v>
      </c>
      <c r="O63" s="34">
        <f t="shared" si="133" ref="O63:R63">O3+O9+O15+O21+O27+O33+O39+O39+O45+O51+O57</f>
        <v>114843.75</v>
      </c>
      <c r="P63" s="34">
        <f t="shared" si="133"/>
        <v>179443.359375</v>
      </c>
      <c r="Q63" s="34">
        <f t="shared" si="133"/>
        <v>280380.249023438</v>
      </c>
      <c r="R63" s="34">
        <f t="shared" si="133"/>
        <v>438094.139099121</v>
      </c>
      <c r="S63" s="34">
        <f>SUM(N63:R63)</f>
        <v>1071081.497497559</v>
      </c>
      <c r="T63" s="35">
        <f>S63/S62</f>
        <v>0.700479506066088</v>
      </c>
    </row>
    <row r="64" spans="8:8">
      <c r="A64" s="26" t="s">
        <v>33</v>
      </c>
      <c r="B64" s="28">
        <f t="shared" si="134" ref="B64:M64">B62-B63</f>
        <v>1592.5</v>
      </c>
      <c r="C64" s="28">
        <f t="shared" si="134"/>
        <v>1687.5</v>
      </c>
      <c r="D64" s="28">
        <f t="shared" si="134"/>
        <v>1782.5</v>
      </c>
      <c r="E64" s="28">
        <f t="shared" si="134"/>
        <v>1877.5</v>
      </c>
      <c r="F64" s="28">
        <f t="shared" si="134"/>
        <v>1972.5</v>
      </c>
      <c r="G64" s="28" t="e">
        <f t="shared" si="134"/>
        <v>#REF!</v>
      </c>
      <c r="H64" s="28">
        <f t="shared" si="134"/>
        <v>2162.5</v>
      </c>
      <c r="I64" s="28">
        <f t="shared" si="134"/>
        <v>2257.5</v>
      </c>
      <c r="J64" s="28">
        <f t="shared" si="134"/>
        <v>2352.5</v>
      </c>
      <c r="K64" s="28">
        <f t="shared" si="134"/>
        <v>2447.5</v>
      </c>
      <c r="L64" s="28">
        <f t="shared" si="134"/>
        <v>2542.5</v>
      </c>
      <c r="M64" s="28">
        <f t="shared" si="134"/>
        <v>2637.5</v>
      </c>
      <c r="N64" s="36">
        <f>N62-N63</f>
        <v>21880.0</v>
      </c>
      <c r="O64" s="36">
        <f t="shared" si="135" ref="O64:R64">O62-O63</f>
        <v>49453.125</v>
      </c>
      <c r="P64" s="36">
        <f t="shared" si="135"/>
        <v>77270.5078125</v>
      </c>
      <c r="Q64" s="36">
        <f t="shared" si="135"/>
        <v>120735.16845703096</v>
      </c>
      <c r="R64" s="36">
        <f t="shared" si="135"/>
        <v>188648.70071411098</v>
      </c>
      <c r="S64" s="36">
        <f>SUM(N64:R64)</f>
        <v>457987.50198364194</v>
      </c>
      <c r="T64" s="37">
        <f>S64/S62</f>
        <v>0.299520493933912</v>
      </c>
    </row>
  </sheetData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AH22"/>
  <sheetViews>
    <sheetView workbookViewId="0" rightToLeft="1" zoomScale="79">
      <selection activeCell="B5" sqref="B5:N5"/>
    </sheetView>
  </sheetViews>
  <sheetFormatPr defaultRowHeight="15.0" defaultColWidth="10" outlineLevelCol="1"/>
  <cols>
    <col min="1" max="1" customWidth="1" bestFit="1" width="24.855469" style="38"/>
    <col min="2" max="2" customWidth="1" width="10.285156" outlineLevel="1" style="0"/>
    <col min="3" max="6" customWidth="1" width="9.285156" outlineLevel="1" style="0"/>
    <col min="7" max="13" customWidth="1" width="10.285156" outlineLevel="1" style="0"/>
    <col min="14" max="18" customWidth="1" bestFit="1" width="11.285156" style="0"/>
    <col min="19" max="19" customWidth="1" bestFit="1" width="12.7109375" style="0"/>
    <col min="20" max="20" customWidth="1" bestFit="1" width="4.4257812" style="0"/>
  </cols>
  <sheetData>
    <row r="1" spans="8:8" s="1" ht="15.0" customFormat="1">
      <c r="A1" s="16" t="s">
        <v>0</v>
      </c>
      <c r="B1" s="17">
        <v>1.0</v>
      </c>
      <c r="C1" s="17">
        <v>2.0</v>
      </c>
      <c r="D1" s="17">
        <v>3.0</v>
      </c>
      <c r="E1" s="17">
        <v>4.0</v>
      </c>
      <c r="F1" s="17">
        <v>5.0</v>
      </c>
      <c r="G1" s="17">
        <v>6.0</v>
      </c>
      <c r="H1" s="17">
        <v>7.0</v>
      </c>
      <c r="I1" s="17">
        <v>8.0</v>
      </c>
      <c r="J1" s="17">
        <v>9.0</v>
      </c>
      <c r="K1" s="17">
        <v>10.0</v>
      </c>
      <c r="L1" s="17">
        <v>11.0</v>
      </c>
      <c r="M1" s="39">
        <v>12.0</v>
      </c>
      <c r="N1" s="40" t="s">
        <v>1</v>
      </c>
      <c r="O1" s="40" t="s">
        <v>2</v>
      </c>
      <c r="P1" s="40" t="s">
        <v>3</v>
      </c>
      <c r="Q1" s="40" t="s">
        <v>4</v>
      </c>
      <c r="R1" s="40" t="s">
        <v>5</v>
      </c>
      <c r="S1" s="40" t="s">
        <v>19</v>
      </c>
      <c r="T1" s="40" t="s">
        <v>107</v>
      </c>
    </row>
    <row r="2" spans="8:8">
      <c r="A2" s="41" t="s">
        <v>34</v>
      </c>
      <c r="B2" s="42">
        <f>'الإيرادات و التكاليف المباشرة'!B62</f>
        <v>5187.5</v>
      </c>
      <c r="C2" s="42">
        <f>'الإيرادات و التكاليف المباشرة'!C62</f>
        <v>5512.5</v>
      </c>
      <c r="D2" s="42">
        <f>'الإيرادات و التكاليف المباشرة'!D62</f>
        <v>5837.5</v>
      </c>
      <c r="E2" s="42">
        <f>'الإيرادات و التكاليف المباشرة'!E62</f>
        <v>6162.5</v>
      </c>
      <c r="F2" s="42">
        <f>'الإيرادات و التكاليف المباشرة'!F62</f>
        <v>6487.5</v>
      </c>
      <c r="G2" s="42" t="e">
        <f>'الإيرادات و التكاليف المباشرة'!G62</f>
        <v>#REF!</v>
      </c>
      <c r="H2" s="42">
        <f>'الإيرادات و التكاليف المباشرة'!H62</f>
        <v>7137.5</v>
      </c>
      <c r="I2" s="42">
        <f>'الإيرادات و التكاليف المباشرة'!I62</f>
        <v>7462.5</v>
      </c>
      <c r="J2" s="42">
        <f>'الإيرادات و التكاليف المباشرة'!J62</f>
        <v>7787.5</v>
      </c>
      <c r="K2" s="42">
        <f>'الإيرادات و التكاليف المباشرة'!K62</f>
        <v>8112.5</v>
      </c>
      <c r="L2" s="42">
        <f>'الإيرادات و التكاليف المباشرة'!L62</f>
        <v>8437.5</v>
      </c>
      <c r="M2" s="43">
        <f>'الإيرادات و التكاليف المباشرة'!M62</f>
        <v>8762.5</v>
      </c>
      <c r="N2" s="44">
        <f>'الإيرادات و التكاليف المباشرة'!N62</f>
        <v>80200.0</v>
      </c>
      <c r="O2" s="44">
        <f>'الإيرادات و التكاليف المباشرة'!O62</f>
        <v>164296.875</v>
      </c>
      <c r="P2" s="44">
        <f>'الإيرادات و التكاليف المباشرة'!P62</f>
        <v>256713.8671875</v>
      </c>
      <c r="Q2" s="44">
        <f>'الإيرادات و التكاليف المباشرة'!Q62</f>
        <v>401115.417480469</v>
      </c>
      <c r="R2" s="44">
        <f>'الإيرادات و التكاليف المباشرة'!R62</f>
        <v>626742.839813232</v>
      </c>
      <c r="S2" s="44">
        <f>'الإيرادات و التكاليف المباشرة'!S62</f>
        <v>1529068.999481201</v>
      </c>
      <c r="T2" s="45"/>
    </row>
    <row r="3" spans="8:8">
      <c r="A3" s="41" t="s">
        <v>6</v>
      </c>
      <c r="B3" s="42">
        <f>'الإيرادات و التكاليف المباشرة'!B63</f>
        <v>3595.0</v>
      </c>
      <c r="C3" s="42">
        <f>'الإيرادات و التكاليف المباشرة'!C63</f>
        <v>3825.0</v>
      </c>
      <c r="D3" s="42">
        <f>'الإيرادات و التكاليف المباشرة'!D63</f>
        <v>4055.0</v>
      </c>
      <c r="E3" s="42">
        <f>'الإيرادات و التكاليف المباشرة'!E63</f>
        <v>4285.0</v>
      </c>
      <c r="F3" s="42">
        <f>'الإيرادات و التكاليف المباشرة'!F63</f>
        <v>4515.0</v>
      </c>
      <c r="G3" s="42">
        <f>'الإيرادات و التكاليف المباشرة'!G63</f>
        <v>4745.0</v>
      </c>
      <c r="H3" s="42">
        <f>'الإيرادات و التكاليف المباشرة'!H63</f>
        <v>4975.0</v>
      </c>
      <c r="I3" s="42">
        <f>'الإيرادات و التكاليف المباشرة'!I63</f>
        <v>5205.0</v>
      </c>
      <c r="J3" s="42">
        <f>'الإيرادات و التكاليف المباشرة'!J63</f>
        <v>5435.0</v>
      </c>
      <c r="K3" s="42">
        <f>'الإيرادات و التكاليف المباشرة'!K63</f>
        <v>5665.0</v>
      </c>
      <c r="L3" s="42">
        <f>'الإيرادات و التكاليف المباشرة'!L63</f>
        <v>5895.0</v>
      </c>
      <c r="M3" s="43">
        <f>'الإيرادات و التكاليف المباشرة'!M63</f>
        <v>6125.0</v>
      </c>
      <c r="N3" s="46">
        <f>'الإيرادات و التكاليف المباشرة'!N63</f>
        <v>58320.0</v>
      </c>
      <c r="O3" s="46">
        <f>'الإيرادات و التكاليف المباشرة'!O63</f>
        <v>114843.75</v>
      </c>
      <c r="P3" s="46">
        <f>'الإيرادات و التكاليف المباشرة'!P63</f>
        <v>179443.359375</v>
      </c>
      <c r="Q3" s="46">
        <f>'الإيرادات و التكاليف المباشرة'!Q63</f>
        <v>280380.249023438</v>
      </c>
      <c r="R3" s="46">
        <f>'الإيرادات و التكاليف المباشرة'!R63</f>
        <v>438094.139099121</v>
      </c>
      <c r="S3" s="46">
        <f>'الإيرادات و التكاليف المباشرة'!S63</f>
        <v>1071081.497497559</v>
      </c>
      <c r="T3" s="47"/>
    </row>
    <row r="4" spans="8:8">
      <c r="A4" s="41" t="s">
        <v>33</v>
      </c>
      <c r="B4" s="42">
        <f>'الإيرادات و التكاليف المباشرة'!B64</f>
        <v>1592.5</v>
      </c>
      <c r="C4" s="42">
        <f>'الإيرادات و التكاليف المباشرة'!C64</f>
        <v>1687.5</v>
      </c>
      <c r="D4" s="42">
        <f>'الإيرادات و التكاليف المباشرة'!D64</f>
        <v>1782.5</v>
      </c>
      <c r="E4" s="42">
        <f>'الإيرادات و التكاليف المباشرة'!E64</f>
        <v>1877.5</v>
      </c>
      <c r="F4" s="42">
        <f>'الإيرادات و التكاليف المباشرة'!F64</f>
        <v>1972.5</v>
      </c>
      <c r="G4" s="42" t="e">
        <f>'الإيرادات و التكاليف المباشرة'!G64</f>
        <v>#REF!</v>
      </c>
      <c r="H4" s="42">
        <f>'الإيرادات و التكاليف المباشرة'!H64</f>
        <v>2162.5</v>
      </c>
      <c r="I4" s="42">
        <f>'الإيرادات و التكاليف المباشرة'!I64</f>
        <v>2257.5</v>
      </c>
      <c r="J4" s="42">
        <f>'الإيرادات و التكاليف المباشرة'!J64</f>
        <v>2352.5</v>
      </c>
      <c r="K4" s="42">
        <f>'الإيرادات و التكاليف المباشرة'!K64</f>
        <v>2447.5</v>
      </c>
      <c r="L4" s="42">
        <f>'الإيرادات و التكاليف المباشرة'!L64</f>
        <v>2542.5</v>
      </c>
      <c r="M4" s="43">
        <f>'الإيرادات و التكاليف المباشرة'!M64</f>
        <v>2637.5</v>
      </c>
      <c r="N4" s="46">
        <f>'الإيرادات و التكاليف المباشرة'!N64</f>
        <v>21880.0</v>
      </c>
      <c r="O4" s="46">
        <f>'الإيرادات و التكاليف المباشرة'!O64</f>
        <v>49453.125</v>
      </c>
      <c r="P4" s="46">
        <f>'الإيرادات و التكاليف المباشرة'!P64</f>
        <v>77270.5078125</v>
      </c>
      <c r="Q4" s="46">
        <f>'الإيرادات و التكاليف المباشرة'!Q64</f>
        <v>120735.16845703096</v>
      </c>
      <c r="R4" s="46">
        <f>'الإيرادات و التكاليف المباشرة'!R64</f>
        <v>188648.70071411098</v>
      </c>
      <c r="S4" s="46">
        <f>'الإيرادات و التكاليف المباشرة'!S64</f>
        <v>457987.50198364194</v>
      </c>
      <c r="T4" s="48">
        <f>S4/S2</f>
        <v>0.299520493933912</v>
      </c>
    </row>
    <row r="5" spans="8:8">
      <c r="A5" s="41" t="s">
        <v>35</v>
      </c>
      <c r="B5" s="42">
        <f>الإفتراضات!$B$8</f>
        <v>2000.0</v>
      </c>
      <c r="C5" s="42">
        <f>الإفتراضات!$B$8</f>
        <v>2000.0</v>
      </c>
      <c r="D5" s="42">
        <f>الإفتراضات!$B$8</f>
        <v>2000.0</v>
      </c>
      <c r="E5" s="42">
        <f>الإفتراضات!$B$8</f>
        <v>2000.0</v>
      </c>
      <c r="F5" s="42">
        <f>الإفتراضات!$B$8</f>
        <v>2000.0</v>
      </c>
      <c r="G5" s="42">
        <f>الإفتراضات!$B$8</f>
        <v>2000.0</v>
      </c>
      <c r="H5" s="42">
        <f>الإفتراضات!$B$8</f>
        <v>2000.0</v>
      </c>
      <c r="I5" s="42">
        <f>الإفتراضات!$B$8</f>
        <v>2000.0</v>
      </c>
      <c r="J5" s="42">
        <f>الإفتراضات!$B$8</f>
        <v>2000.0</v>
      </c>
      <c r="K5" s="42">
        <f>الإفتراضات!$B$8</f>
        <v>2000.0</v>
      </c>
      <c r="L5" s="42">
        <f>الإفتراضات!$B$8</f>
        <v>2000.0</v>
      </c>
      <c r="M5" s="43">
        <f>الإفتراضات!$B$8</f>
        <v>2000.0</v>
      </c>
      <c r="N5" s="49">
        <f>SUM(B5:M5)</f>
        <v>24000.0</v>
      </c>
      <c r="O5" s="49">
        <f>M5*12*(1+الإفتراضات!$B$3)</f>
        <v>30000.0</v>
      </c>
      <c r="P5" s="49">
        <f>O5*(1+الإفتراضات!$B$3)</f>
        <v>37500.0</v>
      </c>
      <c r="Q5" s="49">
        <f>P5*(1+الإفتراضات!$B$3)</f>
        <v>46875.0</v>
      </c>
      <c r="R5" s="49">
        <f>Q5*(1+الإفتراضات!$B$3)</f>
        <v>58593.75</v>
      </c>
      <c r="S5" s="49">
        <f t="shared" si="0" ref="S5:S11">SUM(N5:R5)</f>
        <v>196968.75</v>
      </c>
      <c r="T5" s="47"/>
    </row>
    <row r="6" spans="8:8">
      <c r="A6" s="41" t="s">
        <v>36</v>
      </c>
      <c r="B6" s="42">
        <f>الإفتراضات!$B$9</f>
        <v>300.0</v>
      </c>
      <c r="C6" s="42">
        <f>الإفتراضات!$B$9</f>
        <v>300.0</v>
      </c>
      <c r="D6" s="42">
        <f>الإفتراضات!$B$9</f>
        <v>300.0</v>
      </c>
      <c r="E6" s="42">
        <f>الإفتراضات!$B$9</f>
        <v>300.0</v>
      </c>
      <c r="F6" s="42">
        <f>الإفتراضات!$B$9</f>
        <v>300.0</v>
      </c>
      <c r="G6" s="42">
        <f>الإفتراضات!$B$9</f>
        <v>300.0</v>
      </c>
      <c r="H6" s="42">
        <f>الإفتراضات!$B$9</f>
        <v>300.0</v>
      </c>
      <c r="I6" s="42">
        <f>الإفتراضات!$B$9</f>
        <v>300.0</v>
      </c>
      <c r="J6" s="42">
        <f>الإفتراضات!$B$9</f>
        <v>300.0</v>
      </c>
      <c r="K6" s="42">
        <f>الإفتراضات!$B$9</f>
        <v>300.0</v>
      </c>
      <c r="L6" s="42">
        <f>الإفتراضات!$B$9</f>
        <v>300.0</v>
      </c>
      <c r="M6" s="43">
        <f>الإفتراضات!$B$9</f>
        <v>300.0</v>
      </c>
      <c r="N6" s="49">
        <f t="shared" si="1" ref="N6:N14">SUM(B6:M6)</f>
        <v>3600.0</v>
      </c>
      <c r="O6" s="49">
        <f>M6*12*(1+الإفتراضات!$B$3)</f>
        <v>4500.0</v>
      </c>
      <c r="P6" s="49">
        <f>O6*(1+الإفتراضات!$B$3)</f>
        <v>5625.0</v>
      </c>
      <c r="Q6" s="49">
        <f>P6*(1+الإفتراضات!$B$3)</f>
        <v>7031.25</v>
      </c>
      <c r="R6" s="49">
        <f>Q6*(1+الإفتراضات!$B$3)</f>
        <v>8789.0625</v>
      </c>
      <c r="S6" s="49">
        <f t="shared" si="0"/>
        <v>29545.3125</v>
      </c>
      <c r="T6" s="47"/>
    </row>
    <row r="7" spans="8:8">
      <c r="A7" s="41" t="s">
        <v>37</v>
      </c>
      <c r="B7" s="42">
        <f>الإفتراضات!$B$10</f>
        <v>250.0</v>
      </c>
      <c r="C7" s="42">
        <f>الإفتراضات!$B$10</f>
        <v>250.0</v>
      </c>
      <c r="D7" s="42">
        <f>الإفتراضات!$B$10</f>
        <v>250.0</v>
      </c>
      <c r="E7" s="42">
        <f>الإفتراضات!$B$10</f>
        <v>250.0</v>
      </c>
      <c r="F7" s="42">
        <f>الإفتراضات!$B$10</f>
        <v>250.0</v>
      </c>
      <c r="G7" s="42">
        <f>الإفتراضات!$B$10</f>
        <v>250.0</v>
      </c>
      <c r="H7" s="42">
        <f>الإفتراضات!$B$10</f>
        <v>250.0</v>
      </c>
      <c r="I7" s="42">
        <f>الإفتراضات!$B$10</f>
        <v>250.0</v>
      </c>
      <c r="J7" s="42">
        <f>الإفتراضات!$B$10</f>
        <v>250.0</v>
      </c>
      <c r="K7" s="42">
        <f>الإفتراضات!$B$10</f>
        <v>250.0</v>
      </c>
      <c r="L7" s="42">
        <f>الإفتراضات!$B$10</f>
        <v>250.0</v>
      </c>
      <c r="M7" s="42">
        <f>الإفتراضات!$B$10</f>
        <v>250.0</v>
      </c>
      <c r="N7" s="49">
        <f t="shared" si="1"/>
        <v>3000.0</v>
      </c>
      <c r="O7" s="49">
        <f>M7*12*(1+الإفتراضات!$B$3)</f>
        <v>3750.0</v>
      </c>
      <c r="P7" s="49">
        <f>O7*(1+الإفتراضات!$B$3)</f>
        <v>4687.5</v>
      </c>
      <c r="Q7" s="49">
        <f>P7*(1+الإفتراضات!$B$3)</f>
        <v>5859.375</v>
      </c>
      <c r="R7" s="49">
        <f>Q7*(1+الإفتراضات!$B$3)</f>
        <v>7324.21875</v>
      </c>
      <c r="S7" s="49">
        <f t="shared" si="0"/>
        <v>24621.09375</v>
      </c>
      <c r="T7" s="47"/>
    </row>
    <row r="8" spans="8:8">
      <c r="A8" s="41" t="s">
        <v>38</v>
      </c>
      <c r="B8" s="42">
        <f>الإفتراضات!$B$11</f>
        <v>150.0</v>
      </c>
      <c r="C8" s="42">
        <f>الإفتراضات!$B$11</f>
        <v>150.0</v>
      </c>
      <c r="D8" s="42">
        <f>الإفتراضات!$B$11</f>
        <v>150.0</v>
      </c>
      <c r="E8" s="42">
        <f>الإفتراضات!$B$11</f>
        <v>150.0</v>
      </c>
      <c r="F8" s="42">
        <f>الإفتراضات!$B$11</f>
        <v>150.0</v>
      </c>
      <c r="G8" s="42">
        <f>الإفتراضات!$B$11</f>
        <v>150.0</v>
      </c>
      <c r="H8" s="42">
        <f>الإفتراضات!$B$11</f>
        <v>150.0</v>
      </c>
      <c r="I8" s="42">
        <f>الإفتراضات!$B$11</f>
        <v>150.0</v>
      </c>
      <c r="J8" s="42">
        <f>الإفتراضات!$B$11</f>
        <v>150.0</v>
      </c>
      <c r="K8" s="42">
        <f>الإفتراضات!$B$11</f>
        <v>150.0</v>
      </c>
      <c r="L8" s="42">
        <f>الإفتراضات!$B$11</f>
        <v>150.0</v>
      </c>
      <c r="M8" s="42">
        <f>الإفتراضات!$B$11</f>
        <v>150.0</v>
      </c>
      <c r="N8" s="49">
        <f t="shared" si="1"/>
        <v>1800.0</v>
      </c>
      <c r="O8" s="49">
        <f>M8*12*(1+الإفتراضات!$B$3)</f>
        <v>2250.0</v>
      </c>
      <c r="P8" s="49">
        <f>O8*(1+الإفتراضات!$B$3)</f>
        <v>2812.5</v>
      </c>
      <c r="Q8" s="49">
        <f>P8*(1+الإفتراضات!$B$3)</f>
        <v>3515.625</v>
      </c>
      <c r="R8" s="49">
        <f>Q8*(1+الإفتراضات!$B$3)</f>
        <v>4394.53125</v>
      </c>
      <c r="S8" s="49">
        <f t="shared" si="0"/>
        <v>14772.65625</v>
      </c>
      <c r="T8" s="47"/>
    </row>
    <row r="9" spans="8:8">
      <c r="A9" s="41" t="s">
        <v>39</v>
      </c>
      <c r="B9" s="42">
        <f>الإفتراضات!$B$13/12/الإفتراضات!$B$5</f>
        <v>116.66666666666667</v>
      </c>
      <c r="C9" s="42">
        <f>الإفتراضات!$B$13/12/الإفتراضات!$B$5</f>
        <v>116.66666666666667</v>
      </c>
      <c r="D9" s="42">
        <f>الإفتراضات!$B$13/12/الإفتراضات!$B$5</f>
        <v>116.66666666666667</v>
      </c>
      <c r="E9" s="42">
        <f>الإفتراضات!$B$13/12/الإفتراضات!$B$5</f>
        <v>116.66666666666667</v>
      </c>
      <c r="F9" s="42">
        <f>الإفتراضات!$B$13/12/الإفتراضات!$B$5</f>
        <v>116.66666666666667</v>
      </c>
      <c r="G9" s="42">
        <f>الإفتراضات!$B$13/12/الإفتراضات!$B$5</f>
        <v>116.66666666666667</v>
      </c>
      <c r="H9" s="42">
        <f>الإفتراضات!$B$13/12/الإفتراضات!$B$5</f>
        <v>116.66666666666667</v>
      </c>
      <c r="I9" s="42">
        <f>الإفتراضات!$B$13/12/الإفتراضات!$B$5</f>
        <v>116.66666666666667</v>
      </c>
      <c r="J9" s="42">
        <f>الإفتراضات!$B$13/12/الإفتراضات!$B$5</f>
        <v>116.66666666666667</v>
      </c>
      <c r="K9" s="42">
        <f>الإفتراضات!$B$13/12/الإفتراضات!$B$5</f>
        <v>116.66666666666667</v>
      </c>
      <c r="L9" s="42">
        <f>الإفتراضات!$B$13/12/الإفتراضات!$B$5</f>
        <v>116.66666666666667</v>
      </c>
      <c r="M9" s="42">
        <f>الإفتراضات!$B$13/12/الإفتراضات!$B$5</f>
        <v>116.66666666666667</v>
      </c>
      <c r="N9" s="49">
        <f t="shared" si="1"/>
        <v>1400.0000000000002</v>
      </c>
      <c r="O9" s="46">
        <f>الإفتراضات!$B$13/5</f>
        <v>1400.0</v>
      </c>
      <c r="P9" s="46">
        <f>الإفتراضات!$B$13/5</f>
        <v>1400.0</v>
      </c>
      <c r="Q9" s="46">
        <f>الإفتراضات!$B$13/5</f>
        <v>1400.0</v>
      </c>
      <c r="R9" s="46">
        <f>الإفتراضات!$B$13/5</f>
        <v>1400.0</v>
      </c>
      <c r="S9" s="49">
        <f t="shared" si="0"/>
        <v>7000.0</v>
      </c>
      <c r="T9" s="47"/>
    </row>
    <row r="10" spans="8:8">
      <c r="A10" s="41" t="s">
        <v>40</v>
      </c>
      <c r="B10" s="42">
        <f>الإفتراضات!$B$12</f>
        <v>200.0</v>
      </c>
      <c r="C10" s="42">
        <f>الإفتراضات!$B$12</f>
        <v>200.0</v>
      </c>
      <c r="D10" s="42">
        <f>الإفتراضات!$B$12</f>
        <v>200.0</v>
      </c>
      <c r="E10" s="42">
        <f>الإفتراضات!$B$12</f>
        <v>200.0</v>
      </c>
      <c r="F10" s="42">
        <f>الإفتراضات!$B$12</f>
        <v>200.0</v>
      </c>
      <c r="G10" s="42">
        <f>الإفتراضات!$B$12</f>
        <v>200.0</v>
      </c>
      <c r="H10" s="42">
        <f>الإفتراضات!$B$12</f>
        <v>200.0</v>
      </c>
      <c r="I10" s="42">
        <f>الإفتراضات!$B$12</f>
        <v>200.0</v>
      </c>
      <c r="J10" s="42">
        <f>الإفتراضات!$B$12</f>
        <v>200.0</v>
      </c>
      <c r="K10" s="42">
        <f>الإفتراضات!$B$12</f>
        <v>200.0</v>
      </c>
      <c r="L10" s="42">
        <f>الإفتراضات!$B$12</f>
        <v>200.0</v>
      </c>
      <c r="M10" s="42">
        <f>الإفتراضات!$B$12</f>
        <v>200.0</v>
      </c>
      <c r="N10" s="49">
        <f t="shared" si="1"/>
        <v>2400.0</v>
      </c>
      <c r="O10" s="49">
        <f>M10*12*(1+الإفتراضات!$B$3)</f>
        <v>3000.0</v>
      </c>
      <c r="P10" s="49">
        <f>O10*(1+الإفتراضات!$B$3)</f>
        <v>3750.0</v>
      </c>
      <c r="Q10" s="49">
        <f>P10*(1+الإفتراضات!$B$3)</f>
        <v>4687.5</v>
      </c>
      <c r="R10" s="49">
        <f>Q10*(1+الإفتراضات!$B$3)</f>
        <v>5859.375</v>
      </c>
      <c r="S10" s="49">
        <f t="shared" si="0"/>
        <v>19696.875</v>
      </c>
      <c r="T10" s="47"/>
    </row>
    <row r="11" spans="8:8">
      <c r="A11" s="41" t="s">
        <v>100</v>
      </c>
      <c r="B11" s="42">
        <f>SUM(B5:B10)</f>
        <v>3016.6666666666665</v>
      </c>
      <c r="C11" s="42">
        <f t="shared" si="2" ref="C11:R11">SUM(C5:C10)</f>
        <v>3016.6666666666665</v>
      </c>
      <c r="D11" s="42">
        <f t="shared" si="2"/>
        <v>3016.6666666666665</v>
      </c>
      <c r="E11" s="42">
        <f t="shared" si="2"/>
        <v>3016.6666666666665</v>
      </c>
      <c r="F11" s="42">
        <f t="shared" si="2"/>
        <v>3016.6666666666665</v>
      </c>
      <c r="G11" s="42">
        <f t="shared" si="2"/>
        <v>3016.6666666666665</v>
      </c>
      <c r="H11" s="42">
        <f t="shared" si="2"/>
        <v>3016.6666666666665</v>
      </c>
      <c r="I11" s="42">
        <f t="shared" si="2"/>
        <v>3016.6666666666665</v>
      </c>
      <c r="J11" s="42">
        <f t="shared" si="2"/>
        <v>3016.6666666666665</v>
      </c>
      <c r="K11" s="42">
        <f t="shared" si="2"/>
        <v>3016.6666666666665</v>
      </c>
      <c r="L11" s="42">
        <f t="shared" si="2"/>
        <v>3016.6666666666665</v>
      </c>
      <c r="M11" s="42">
        <f t="shared" si="2"/>
        <v>3016.6666666666665</v>
      </c>
      <c r="N11" s="49">
        <f t="shared" si="1"/>
        <v>36200.0</v>
      </c>
      <c r="O11" s="50">
        <f t="shared" si="2"/>
        <v>44900.0</v>
      </c>
      <c r="P11" s="46">
        <f t="shared" si="2"/>
        <v>55775.0</v>
      </c>
      <c r="Q11" s="46">
        <f t="shared" si="2"/>
        <v>69368.75</v>
      </c>
      <c r="R11" s="46">
        <f t="shared" si="2"/>
        <v>86360.9375</v>
      </c>
      <c r="S11" s="49">
        <f t="shared" si="0"/>
        <v>292604.6875</v>
      </c>
      <c r="T11" s="47"/>
    </row>
    <row r="12" spans="8:8">
      <c r="A12" s="41" t="s">
        <v>41</v>
      </c>
      <c r="B12" s="42">
        <f>B4-B11</f>
        <v>-1424.1666666666702</v>
      </c>
      <c r="C12" s="42">
        <f t="shared" si="3" ref="C12:S12">C4-C11</f>
        <v>-1329.1666666666702</v>
      </c>
      <c r="D12" s="42">
        <f t="shared" si="3"/>
        <v>-1234.1666666666702</v>
      </c>
      <c r="E12" s="42">
        <f t="shared" si="3"/>
        <v>-1139.1666666666702</v>
      </c>
      <c r="F12" s="42">
        <f t="shared" si="3"/>
        <v>-1044.1666666666702</v>
      </c>
      <c r="G12" s="42" t="e">
        <f t="shared" si="3"/>
        <v>#REF!</v>
      </c>
      <c r="H12" s="42">
        <f t="shared" si="3"/>
        <v>-854.1666666666702</v>
      </c>
      <c r="I12" s="42">
        <f t="shared" si="3"/>
        <v>-759.1666666666702</v>
      </c>
      <c r="J12" s="42">
        <f t="shared" si="3"/>
        <v>-664.1666666666702</v>
      </c>
      <c r="K12" s="42">
        <f t="shared" si="3"/>
        <v>-569.1666666666702</v>
      </c>
      <c r="L12" s="42">
        <f t="shared" si="3"/>
        <v>-474.16666666667015</v>
      </c>
      <c r="M12" s="42">
        <f t="shared" si="3"/>
        <v>-379.16666666667015</v>
      </c>
      <c r="N12" s="49" t="e">
        <f t="shared" si="1"/>
        <v>#REF!</v>
      </c>
      <c r="O12" s="50">
        <f t="shared" si="3"/>
        <v>4553.125</v>
      </c>
      <c r="P12" s="46">
        <f t="shared" si="3"/>
        <v>21495.5078125</v>
      </c>
      <c r="Q12" s="46">
        <f t="shared" si="3"/>
        <v>51366.418457031</v>
      </c>
      <c r="R12" s="46">
        <f t="shared" si="3"/>
        <v>102287.76321411101</v>
      </c>
      <c r="S12" s="46">
        <f t="shared" si="3"/>
        <v>165382.814483642</v>
      </c>
      <c r="T12" s="47"/>
    </row>
    <row r="13" spans="8:8">
      <c r="A13" s="41" t="s">
        <v>42</v>
      </c>
      <c r="B13" s="42">
        <f>B12*الإفتراضات!$B$6</f>
        <v>-313.31666666666746</v>
      </c>
      <c r="C13" s="42">
        <f>C12*الإفتراضات!$B$6</f>
        <v>-292.4166666666674</v>
      </c>
      <c r="D13" s="42">
        <f>D12*الإفتراضات!$B$6</f>
        <v>-271.51666666666745</v>
      </c>
      <c r="E13" s="42">
        <f>E12*الإفتراضات!$B$6</f>
        <v>-250.61666666666744</v>
      </c>
      <c r="F13" s="42">
        <f>F12*الإفتراضات!$B$6</f>
        <v>-229.71666666666744</v>
      </c>
      <c r="G13" s="42" t="e">
        <f>G12*الإفتراضات!$B$6</f>
        <v>#REF!</v>
      </c>
      <c r="H13" s="42">
        <f>H12*الإفتراضات!$B$6</f>
        <v>-187.91666666666742</v>
      </c>
      <c r="I13" s="42">
        <f>I12*الإفتراضات!$B$6</f>
        <v>-167.01666666666745</v>
      </c>
      <c r="J13" s="42">
        <f>J12*الإفتراضات!$B$6</f>
        <v>-146.11666666666744</v>
      </c>
      <c r="K13" s="42">
        <f>K12*الإفتراضات!$B$6</f>
        <v>-125.21666666666744</v>
      </c>
      <c r="L13" s="42">
        <f>L12*الإفتراضات!$B$6</f>
        <v>-104.31666666666743</v>
      </c>
      <c r="M13" s="50">
        <f>M12*الإفتراضات!$B$6</f>
        <v>-83.41666666666744</v>
      </c>
      <c r="N13" s="49" t="e">
        <f t="shared" si="1"/>
        <v>#REF!</v>
      </c>
      <c r="O13" s="50">
        <f>O12*الإفتراضات!$B$6</f>
        <v>1001.6875</v>
      </c>
      <c r="P13" s="46">
        <f>P12*الإفتراضات!$B$6</f>
        <v>4729.01171875</v>
      </c>
      <c r="Q13" s="46">
        <f>Q12*الإفتراضات!$B$6</f>
        <v>11300.61206054682</v>
      </c>
      <c r="R13" s="46">
        <f>R12*الإفتراضات!$B$6</f>
        <v>22503.307907104423</v>
      </c>
      <c r="S13" s="49" t="e">
        <f>SUM(N13:R13)</f>
        <v>#REF!</v>
      </c>
      <c r="T13" s="47"/>
    </row>
    <row r="14" spans="8:8">
      <c r="A14" s="41" t="s">
        <v>43</v>
      </c>
      <c r="B14" s="51">
        <f>B12-B13</f>
        <v>-1110.8500000000029</v>
      </c>
      <c r="C14" s="51">
        <f t="shared" si="4" ref="C14:S14">C12-C13</f>
        <v>-1036.750000000003</v>
      </c>
      <c r="D14" s="51">
        <f t="shared" si="4"/>
        <v>-962.6500000000029</v>
      </c>
      <c r="E14" s="51">
        <f t="shared" si="4"/>
        <v>-888.5500000000029</v>
      </c>
      <c r="F14" s="51">
        <f t="shared" si="4"/>
        <v>-814.4500000000029</v>
      </c>
      <c r="G14" s="51" t="e">
        <f t="shared" si="4"/>
        <v>#REF!</v>
      </c>
      <c r="H14" s="51">
        <f t="shared" si="4"/>
        <v>-666.2500000000031</v>
      </c>
      <c r="I14" s="51">
        <f t="shared" si="4"/>
        <v>-592.150000000003</v>
      </c>
      <c r="J14" s="51">
        <f t="shared" si="4"/>
        <v>-518.050000000003</v>
      </c>
      <c r="K14" s="51">
        <f t="shared" si="4"/>
        <v>-443.95000000000306</v>
      </c>
      <c r="L14" s="51">
        <f t="shared" si="4"/>
        <v>-369.850000000003</v>
      </c>
      <c r="M14" s="52">
        <f t="shared" si="4"/>
        <v>-295.7500000000026</v>
      </c>
      <c r="N14" s="53" t="e">
        <f t="shared" si="1"/>
        <v>#REF!</v>
      </c>
      <c r="O14" s="54">
        <f t="shared" si="4"/>
        <v>3551.4375</v>
      </c>
      <c r="P14" s="54">
        <f t="shared" si="4"/>
        <v>16766.49609375</v>
      </c>
      <c r="Q14" s="54">
        <f t="shared" si="4"/>
        <v>40065.8063964842</v>
      </c>
      <c r="R14" s="54">
        <f t="shared" si="4"/>
        <v>79784.45530700659</v>
      </c>
      <c r="S14" s="54" t="e">
        <f t="shared" si="4"/>
        <v>#REF!</v>
      </c>
      <c r="T14" s="55" t="e">
        <f>S14/S2</f>
        <v>#REF!</v>
      </c>
    </row>
    <row r="15" spans="8:8">
      <c r="A15" s="56" t="s">
        <v>108</v>
      </c>
      <c r="B15" s="57">
        <f>B14</f>
        <v>-1110.8500000000029</v>
      </c>
      <c r="C15" s="57">
        <f>B15+C14</f>
        <v>-2147.6</v>
      </c>
      <c r="D15" s="57">
        <f>C15+D14</f>
        <v>-3110.2500000000027</v>
      </c>
      <c r="E15" s="57">
        <f t="shared" si="5" ref="E15:M15">D15+E14</f>
        <v>-3998.800000000003</v>
      </c>
      <c r="F15" s="57">
        <f t="shared" si="5"/>
        <v>-4813.250000000004</v>
      </c>
      <c r="G15" s="57" t="e">
        <f t="shared" si="5"/>
        <v>#REF!</v>
      </c>
      <c r="H15" s="57" t="e">
        <f t="shared" si="5"/>
        <v>#REF!</v>
      </c>
      <c r="I15" s="57" t="e">
        <f t="shared" si="5"/>
        <v>#REF!</v>
      </c>
      <c r="J15" s="57" t="e">
        <f t="shared" si="5"/>
        <v>#REF!</v>
      </c>
      <c r="K15" s="57" t="e">
        <f t="shared" si="5"/>
        <v>#REF!</v>
      </c>
      <c r="L15" s="57" t="e">
        <f t="shared" si="5"/>
        <v>#REF!</v>
      </c>
      <c r="M15" s="58" t="e">
        <f t="shared" si="5"/>
        <v>#REF!</v>
      </c>
      <c r="N15" s="59" t="e">
        <f>M15</f>
        <v>#REF!</v>
      </c>
      <c r="O15" s="60" t="e">
        <f>N15+O14</f>
        <v>#REF!</v>
      </c>
      <c r="P15" s="60" t="e">
        <f t="shared" si="6" ref="P15:R15">O15+P14</f>
        <v>#REF!</v>
      </c>
      <c r="Q15" s="60" t="e">
        <f t="shared" si="6"/>
        <v>#REF!</v>
      </c>
      <c r="R15" s="60" t="e">
        <f t="shared" si="6"/>
        <v>#REF!</v>
      </c>
      <c r="S15" s="54"/>
      <c r="T15" s="61"/>
    </row>
    <row r="16" spans="8:8">
      <c r="A16" s="62" t="s">
        <v>99</v>
      </c>
      <c r="N16" s="63" t="e">
        <f>N14/(1+الإفتراضات!$B$4)</f>
        <v>#REF!</v>
      </c>
      <c r="O16" s="63">
        <f>O14/((1+الإفتراضات!$B$4)*(1+الإفتراضات!$B$4))</f>
        <v>2685.396975425331</v>
      </c>
      <c r="P16" s="63">
        <f>P14/((1+الإفتراضات!$B$4)*(1+الإفتراضات!$B$4)*(1+الإفتراضات!$B$4))</f>
        <v>11024.24334264815</v>
      </c>
      <c r="Q16" s="63">
        <f>Q14/((1+الإفتراضات!$B$4)*(1+الإفتراضات!$B$4)*(1+الإفتراضات!$B$4)*(1+الإفتراضات!$B$4))</f>
        <v>22907.75484449196</v>
      </c>
      <c r="R16" s="63">
        <f>R14/((1+الإفتراضات!$B$4)*(1+الإفتراضات!$B$4)*(1+الإفتراضات!$B$4)*(1+الإفتراضات!$B$4)*(1+الإفتراضات!$B$4))</f>
        <v>39666.975017089855</v>
      </c>
      <c r="S16" s="54" t="e">
        <f>SUM(N16:R16)</f>
        <v>#REF!</v>
      </c>
      <c r="T16" s="64" t="e">
        <f>S16/S2</f>
        <v>#REF!</v>
      </c>
    </row>
    <row r="18" spans="8:8">
      <c r="A18" s="31" t="s">
        <v>61</v>
      </c>
      <c r="B18" s="65"/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6" t="e">
        <f>N16/N2</f>
        <v>#REF!</v>
      </c>
      <c r="O18" s="66">
        <f t="shared" si="7" ref="O18:R18">O16/O2</f>
        <v>0.016344784253658696</v>
      </c>
      <c r="P18" s="66">
        <f t="shared" si="7"/>
        <v>0.04294370017259802</v>
      </c>
      <c r="Q18" s="66">
        <f t="shared" si="7"/>
        <v>0.05711013300955299</v>
      </c>
      <c r="R18" s="66">
        <f t="shared" si="7"/>
        <v>0.06329067122475708</v>
      </c>
      <c r="S18" s="33" t="e">
        <f>S16/S2</f>
        <v>#REF!</v>
      </c>
    </row>
    <row r="19" spans="8:8">
      <c r="A19" s="20" t="s">
        <v>65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8" t="e">
        <f>N16/'قائمة التدفق النقدي'!$B$13</f>
        <v>#REF!</v>
      </c>
      <c r="O19" s="68">
        <f>O16/'قائمة التدفق النقدي'!$B$13</f>
        <v>0.05370793950850662</v>
      </c>
      <c r="P19" s="68">
        <f>P16/'قائمة التدفق النقدي'!$B$13</f>
        <v>0.22048486685296298</v>
      </c>
      <c r="Q19" s="68">
        <f>Q16/'قائمة التدفق النقدي'!$B$13</f>
        <v>0.4581550968898392</v>
      </c>
      <c r="R19" s="68">
        <f>R16/'قائمة التدفق النقدي'!$B$13</f>
        <v>0.7933395003417971</v>
      </c>
      <c r="S19" s="35" t="e">
        <f>S16/'قائمة التدفق النقدي'!$B$13</f>
        <v>#REF!</v>
      </c>
    </row>
    <row r="20" spans="8:8">
      <c r="A20" s="20" t="s">
        <v>62</v>
      </c>
      <c r="B20" s="42">
        <f>B11/(B4/B2)</f>
        <v>9826.66143380429</v>
      </c>
      <c r="C20" s="42">
        <f t="shared" si="8" ref="C20:S20">C11/(C4/C2)</f>
        <v>9854.444444444443</v>
      </c>
      <c r="D20" s="42">
        <f t="shared" si="8"/>
        <v>9879.266012155213</v>
      </c>
      <c r="E20" s="42">
        <f t="shared" si="8"/>
        <v>9901.575676875278</v>
      </c>
      <c r="F20" s="42">
        <f t="shared" si="8"/>
        <v>9921.736375158427</v>
      </c>
      <c r="G20" s="42" t="e">
        <f t="shared" si="8"/>
        <v>#REF!</v>
      </c>
      <c r="H20" s="42">
        <f t="shared" si="8"/>
        <v>9956.74373795761</v>
      </c>
      <c r="I20" s="42">
        <f t="shared" si="8"/>
        <v>9972.03765227021</v>
      </c>
      <c r="J20" s="42">
        <f t="shared" si="8"/>
        <v>9986.096351399221</v>
      </c>
      <c r="K20" s="42">
        <f t="shared" si="8"/>
        <v>9999.063670411984</v>
      </c>
      <c r="L20" s="42">
        <f t="shared" si="8"/>
        <v>10011.061946902653</v>
      </c>
      <c r="M20" s="42">
        <f t="shared" si="8"/>
        <v>10022.195892575039</v>
      </c>
      <c r="N20" s="42">
        <f t="shared" si="8"/>
        <v>132689.2138939671</v>
      </c>
      <c r="O20" s="42">
        <f t="shared" si="8"/>
        <v>149170.1421800948</v>
      </c>
      <c r="P20" s="42">
        <f t="shared" si="8"/>
        <v>185299.8815165877</v>
      </c>
      <c r="Q20" s="42">
        <f t="shared" si="8"/>
        <v>230462.05568720447</v>
      </c>
      <c r="R20" s="42">
        <f t="shared" si="8"/>
        <v>286914.7734004743</v>
      </c>
      <c r="S20" s="50">
        <f t="shared" si="8"/>
        <v>976910.4065532226</v>
      </c>
    </row>
    <row r="21" spans="8:8">
      <c r="A21" s="20" t="s">
        <v>63</v>
      </c>
      <c r="B21" s="25">
        <v>6.0</v>
      </c>
      <c r="C21" s="25" t="s">
        <v>66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9"/>
    </row>
    <row r="22" spans="8:8">
      <c r="A22" s="26" t="s">
        <v>64</v>
      </c>
      <c r="B22" s="70">
        <v>20000.0</v>
      </c>
      <c r="C22" s="71" t="s">
        <v>111</v>
      </c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2"/>
    </row>
  </sheetData>
  <pageMargins left="0.7" right="0.7" top="0.75" bottom="0.75" header="0.3" footer="0.3"/>
</worksheet>
</file>

<file path=xl/worksheets/sheet4.xml><?xml version="1.0" encoding="utf-8"?>
<worksheet xmlns:r="http://schemas.openxmlformats.org/officeDocument/2006/relationships" xmlns="http://schemas.openxmlformats.org/spreadsheetml/2006/main">
  <dimension ref="A1:AE18"/>
  <sheetViews>
    <sheetView workbookViewId="0" rightToLeft="1" topLeftCell="AF1" zoomScale="77">
      <selection activeCell="O14" sqref="O14"/>
    </sheetView>
  </sheetViews>
  <sheetFormatPr defaultRowHeight="15.0" defaultColWidth="10" outlineLevelCol="1"/>
  <cols>
    <col min="1" max="1" customWidth="1" bestFit="1" width="26.855469" style="0"/>
    <col min="2" max="13" customWidth="0" width="8.855469" outlineLevel="1" style="0"/>
    <col min="14" max="17" customWidth="1" bestFit="1" width="10.285156" style="0"/>
  </cols>
  <sheetData>
    <row r="1" spans="8:8" s="1" ht="15.0" customFormat="1">
      <c r="A1" s="31" t="s">
        <v>0</v>
      </c>
      <c r="B1" s="17">
        <v>1.0</v>
      </c>
      <c r="C1" s="17">
        <v>2.0</v>
      </c>
      <c r="D1" s="17">
        <v>3.0</v>
      </c>
      <c r="E1" s="17">
        <v>4.0</v>
      </c>
      <c r="F1" s="17">
        <v>5.0</v>
      </c>
      <c r="G1" s="17">
        <v>6.0</v>
      </c>
      <c r="H1" s="17">
        <v>7.0</v>
      </c>
      <c r="I1" s="17">
        <v>8.0</v>
      </c>
      <c r="J1" s="17">
        <v>9.0</v>
      </c>
      <c r="K1" s="17">
        <v>10.0</v>
      </c>
      <c r="L1" s="17">
        <v>11.0</v>
      </c>
      <c r="M1" s="73">
        <v>12.0</v>
      </c>
      <c r="N1" s="74" t="s">
        <v>2</v>
      </c>
      <c r="O1" s="75" t="s">
        <v>3</v>
      </c>
      <c r="P1" s="75" t="s">
        <v>4</v>
      </c>
      <c r="Q1" s="76" t="s">
        <v>5</v>
      </c>
    </row>
    <row r="2" spans="8:8">
      <c r="A2" s="77" t="s">
        <v>50</v>
      </c>
      <c r="B2" s="51">
        <f t="shared" si="0" ref="B2:Q2">B3-SUM(B4:B10)</f>
        <v>-6495.0</v>
      </c>
      <c r="C2" s="51">
        <f t="shared" si="0"/>
        <v>-1537.5</v>
      </c>
      <c r="D2" s="51">
        <f t="shared" si="0"/>
        <v>-1442.5</v>
      </c>
      <c r="E2" s="51">
        <f t="shared" si="0"/>
        <v>-1347.5</v>
      </c>
      <c r="F2" s="51">
        <f t="shared" si="0"/>
        <v>-1252.5</v>
      </c>
      <c r="G2" s="51">
        <f t="shared" si="0"/>
        <v>-1157.5</v>
      </c>
      <c r="H2" s="51" t="e">
        <f t="shared" si="0"/>
        <v>#REF!</v>
      </c>
      <c r="I2" s="51">
        <f t="shared" si="0"/>
        <v>-967.5</v>
      </c>
      <c r="J2" s="51">
        <f t="shared" si="0"/>
        <v>-872.5</v>
      </c>
      <c r="K2" s="51">
        <f t="shared" si="0"/>
        <v>-777.5</v>
      </c>
      <c r="L2" s="51">
        <f t="shared" si="0"/>
        <v>-682.5</v>
      </c>
      <c r="M2" s="51" t="e">
        <f t="shared" si="0"/>
        <v>#REF!</v>
      </c>
      <c r="N2" s="78">
        <f t="shared" si="0"/>
        <v>4951.4375</v>
      </c>
      <c r="O2" s="79">
        <f t="shared" si="0"/>
        <v>18166.49609375</v>
      </c>
      <c r="P2" s="79">
        <f t="shared" si="0"/>
        <v>41465.80639648397</v>
      </c>
      <c r="Q2" s="80">
        <f t="shared" si="0"/>
        <v>81184.45530700695</v>
      </c>
    </row>
    <row r="3" spans="8:8">
      <c r="A3" s="5" t="s">
        <v>53</v>
      </c>
      <c r="B3" s="42">
        <v>0.0</v>
      </c>
      <c r="C3" s="42">
        <f>'قائمة الدخل'!B2</f>
        <v>5187.5</v>
      </c>
      <c r="D3" s="42">
        <f>'قائمة الدخل'!C2</f>
        <v>5512.5</v>
      </c>
      <c r="E3" s="42">
        <f>'قائمة الدخل'!D2</f>
        <v>5837.5</v>
      </c>
      <c r="F3" s="42">
        <f>'قائمة الدخل'!E2</f>
        <v>6162.5</v>
      </c>
      <c r="G3" s="42">
        <f>'قائمة الدخل'!F2</f>
        <v>6487.5</v>
      </c>
      <c r="H3" s="42" t="e">
        <f>'قائمة الدخل'!G2</f>
        <v>#REF!</v>
      </c>
      <c r="I3" s="42">
        <f>'قائمة الدخل'!H2</f>
        <v>7137.5</v>
      </c>
      <c r="J3" s="42">
        <f>'قائمة الدخل'!I2</f>
        <v>7462.5</v>
      </c>
      <c r="K3" s="42">
        <f>'قائمة الدخل'!J2</f>
        <v>7787.5</v>
      </c>
      <c r="L3" s="42">
        <f>'قائمة الدخل'!K2</f>
        <v>8112.5</v>
      </c>
      <c r="M3" s="42">
        <f>'قائمة الدخل'!L2</f>
        <v>8437.5</v>
      </c>
      <c r="N3" s="81">
        <f>'قائمة الدخل'!O2</f>
        <v>164296.875</v>
      </c>
      <c r="O3" s="81">
        <f>'قائمة الدخل'!P2</f>
        <v>256713.8671875</v>
      </c>
      <c r="P3" s="81">
        <f>'قائمة الدخل'!Q2</f>
        <v>401115.417480469</v>
      </c>
      <c r="Q3" s="50">
        <f>'قائمة الدخل'!R2</f>
        <v>626742.839813232</v>
      </c>
    </row>
    <row r="4" spans="8:8">
      <c r="A4" s="5" t="s">
        <v>110</v>
      </c>
      <c r="B4" s="42">
        <f>'قائمة الدخل'!B3</f>
        <v>3595.0</v>
      </c>
      <c r="C4" s="42">
        <f>'قائمة الدخل'!C3</f>
        <v>3825.0</v>
      </c>
      <c r="D4" s="42">
        <f>'قائمة الدخل'!D3</f>
        <v>4055.0</v>
      </c>
      <c r="E4" s="42">
        <f>'قائمة الدخل'!E3</f>
        <v>4285.0</v>
      </c>
      <c r="F4" s="42">
        <f>'قائمة الدخل'!F3</f>
        <v>4515.0</v>
      </c>
      <c r="G4" s="42">
        <f>'قائمة الدخل'!G3</f>
        <v>4745.0</v>
      </c>
      <c r="H4" s="42">
        <f>'قائمة الدخل'!H3</f>
        <v>4975.0</v>
      </c>
      <c r="I4" s="42">
        <f>'قائمة الدخل'!I3</f>
        <v>5205.0</v>
      </c>
      <c r="J4" s="42">
        <f>'قائمة الدخل'!J3</f>
        <v>5435.0</v>
      </c>
      <c r="K4" s="42">
        <f>'قائمة الدخل'!K3</f>
        <v>5665.0</v>
      </c>
      <c r="L4" s="42">
        <f>'قائمة الدخل'!L3</f>
        <v>5895.0</v>
      </c>
      <c r="M4" s="50">
        <f>'قائمة الدخل'!M3</f>
        <v>6125.0</v>
      </c>
      <c r="N4" s="81">
        <f>'قائمة الدخل'!O3</f>
        <v>114843.75</v>
      </c>
      <c r="O4" s="42">
        <f>'قائمة الدخل'!P3</f>
        <v>179443.359375</v>
      </c>
      <c r="P4" s="42">
        <f>'قائمة الدخل'!Q3</f>
        <v>280380.249023438</v>
      </c>
      <c r="Q4" s="50">
        <f>'قائمة الدخل'!R3</f>
        <v>438094.139099121</v>
      </c>
    </row>
    <row r="5" spans="8:8">
      <c r="A5" s="5" t="s">
        <v>35</v>
      </c>
      <c r="B5" s="42">
        <f>'قائمة الدخل'!B5</f>
        <v>2000.0</v>
      </c>
      <c r="C5" s="42">
        <f>'قائمة الدخل'!C5</f>
        <v>2000.0</v>
      </c>
      <c r="D5" s="42">
        <f>'قائمة الدخل'!D5</f>
        <v>2000.0</v>
      </c>
      <c r="E5" s="42">
        <f>'قائمة الدخل'!E5</f>
        <v>2000.0</v>
      </c>
      <c r="F5" s="42">
        <f>'قائمة الدخل'!F5</f>
        <v>2000.0</v>
      </c>
      <c r="G5" s="42">
        <f>'قائمة الدخل'!G5</f>
        <v>2000.0</v>
      </c>
      <c r="H5" s="42">
        <f>'قائمة الدخل'!H5</f>
        <v>2000.0</v>
      </c>
      <c r="I5" s="42">
        <f>'قائمة الدخل'!I5</f>
        <v>2000.0</v>
      </c>
      <c r="J5" s="42">
        <f>'قائمة الدخل'!J5</f>
        <v>2000.0</v>
      </c>
      <c r="K5" s="42">
        <f>'قائمة الدخل'!K5</f>
        <v>2000.0</v>
      </c>
      <c r="L5" s="42">
        <f>'قائمة الدخل'!L5</f>
        <v>2000.0</v>
      </c>
      <c r="M5" s="50">
        <f>'قائمة الدخل'!M5</f>
        <v>2000.0</v>
      </c>
      <c r="N5" s="81">
        <f>'قائمة الدخل'!O5</f>
        <v>30000.0</v>
      </c>
      <c r="O5" s="42">
        <f>'قائمة الدخل'!P5</f>
        <v>37500.0</v>
      </c>
      <c r="P5" s="42">
        <f>'قائمة الدخل'!Q5</f>
        <v>46875.0</v>
      </c>
      <c r="Q5" s="50">
        <f>'قائمة الدخل'!R5</f>
        <v>58593.75</v>
      </c>
    </row>
    <row r="6" spans="8:8">
      <c r="A6" s="5" t="s">
        <v>36</v>
      </c>
      <c r="B6" s="42">
        <f>'قائمة الدخل'!B6</f>
        <v>300.0</v>
      </c>
      <c r="C6" s="42">
        <f>'قائمة الدخل'!C6</f>
        <v>300.0</v>
      </c>
      <c r="D6" s="42">
        <f>'قائمة الدخل'!D6</f>
        <v>300.0</v>
      </c>
      <c r="E6" s="42">
        <f>'قائمة الدخل'!E6</f>
        <v>300.0</v>
      </c>
      <c r="F6" s="42">
        <f>'قائمة الدخل'!F6</f>
        <v>300.0</v>
      </c>
      <c r="G6" s="42">
        <f>'قائمة الدخل'!G6</f>
        <v>300.0</v>
      </c>
      <c r="H6" s="42">
        <f>'قائمة الدخل'!H6</f>
        <v>300.0</v>
      </c>
      <c r="I6" s="42">
        <f>'قائمة الدخل'!I6</f>
        <v>300.0</v>
      </c>
      <c r="J6" s="42">
        <f>'قائمة الدخل'!J6</f>
        <v>300.0</v>
      </c>
      <c r="K6" s="42">
        <f>'قائمة الدخل'!K6</f>
        <v>300.0</v>
      </c>
      <c r="L6" s="42">
        <f>'قائمة الدخل'!L6</f>
        <v>300.0</v>
      </c>
      <c r="M6" s="50">
        <f>'قائمة الدخل'!M6</f>
        <v>300.0</v>
      </c>
      <c r="N6" s="81">
        <f>'قائمة الدخل'!O6</f>
        <v>4500.0</v>
      </c>
      <c r="O6" s="42">
        <f>'قائمة الدخل'!P6</f>
        <v>5625.0</v>
      </c>
      <c r="P6" s="42">
        <f>'قائمة الدخل'!Q6</f>
        <v>7031.25</v>
      </c>
      <c r="Q6" s="50">
        <f>'قائمة الدخل'!R6</f>
        <v>8789.0625</v>
      </c>
    </row>
    <row r="7" spans="8:8">
      <c r="A7" s="5" t="s">
        <v>37</v>
      </c>
      <c r="B7" s="42">
        <f>'قائمة الدخل'!B7</f>
        <v>250.0</v>
      </c>
      <c r="C7" s="42">
        <f>'قائمة الدخل'!C7</f>
        <v>250.0</v>
      </c>
      <c r="D7" s="42">
        <f>'قائمة الدخل'!D7</f>
        <v>250.0</v>
      </c>
      <c r="E7" s="42">
        <f>'قائمة الدخل'!E7</f>
        <v>250.0</v>
      </c>
      <c r="F7" s="42">
        <f>'قائمة الدخل'!F7</f>
        <v>250.0</v>
      </c>
      <c r="G7" s="42">
        <f>'قائمة الدخل'!G7</f>
        <v>250.0</v>
      </c>
      <c r="H7" s="42">
        <f>'قائمة الدخل'!H7</f>
        <v>250.0</v>
      </c>
      <c r="I7" s="42">
        <f>'قائمة الدخل'!I7</f>
        <v>250.0</v>
      </c>
      <c r="J7" s="42">
        <f>'قائمة الدخل'!J7</f>
        <v>250.0</v>
      </c>
      <c r="K7" s="42">
        <f>'قائمة الدخل'!K7</f>
        <v>250.0</v>
      </c>
      <c r="L7" s="42">
        <f>'قائمة الدخل'!L7</f>
        <v>250.0</v>
      </c>
      <c r="M7" s="50">
        <f>'قائمة الدخل'!M7</f>
        <v>250.0</v>
      </c>
      <c r="N7" s="81">
        <f>'قائمة الدخل'!O7</f>
        <v>3750.0</v>
      </c>
      <c r="O7" s="42">
        <f>'قائمة الدخل'!P7</f>
        <v>4687.5</v>
      </c>
      <c r="P7" s="42">
        <f>'قائمة الدخل'!Q7</f>
        <v>5859.375</v>
      </c>
      <c r="Q7" s="50">
        <f>'قائمة الدخل'!R7</f>
        <v>7324.21875</v>
      </c>
    </row>
    <row r="8" spans="8:8">
      <c r="A8" s="5" t="s">
        <v>54</v>
      </c>
      <c r="B8" s="42">
        <f>'قائمة الدخل'!B8</f>
        <v>150.0</v>
      </c>
      <c r="C8" s="42">
        <f>'قائمة الدخل'!C8</f>
        <v>150.0</v>
      </c>
      <c r="D8" s="42">
        <f>'قائمة الدخل'!D8</f>
        <v>150.0</v>
      </c>
      <c r="E8" s="42">
        <f>'قائمة الدخل'!E8</f>
        <v>150.0</v>
      </c>
      <c r="F8" s="42">
        <f>'قائمة الدخل'!F8</f>
        <v>150.0</v>
      </c>
      <c r="G8" s="42">
        <f>'قائمة الدخل'!G8</f>
        <v>150.0</v>
      </c>
      <c r="H8" s="42">
        <f>'قائمة الدخل'!H8</f>
        <v>150.0</v>
      </c>
      <c r="I8" s="42">
        <f>'قائمة الدخل'!I8</f>
        <v>150.0</v>
      </c>
      <c r="J8" s="42">
        <f>'قائمة الدخل'!J8</f>
        <v>150.0</v>
      </c>
      <c r="K8" s="42">
        <f>'قائمة الدخل'!K8</f>
        <v>150.0</v>
      </c>
      <c r="L8" s="42">
        <f>'قائمة الدخل'!L8</f>
        <v>150.0</v>
      </c>
      <c r="M8" s="50">
        <f>'قائمة الدخل'!M8</f>
        <v>150.0</v>
      </c>
      <c r="N8" s="81">
        <f>'قائمة الدخل'!O8</f>
        <v>2250.0</v>
      </c>
      <c r="O8" s="42">
        <f>'قائمة الدخل'!P8</f>
        <v>2812.5</v>
      </c>
      <c r="P8" s="42">
        <f>'قائمة الدخل'!Q8</f>
        <v>3515.625</v>
      </c>
      <c r="Q8" s="50">
        <f>'قائمة الدخل'!R8</f>
        <v>4394.53125</v>
      </c>
    </row>
    <row r="9" spans="8:8">
      <c r="A9" s="5" t="s">
        <v>40</v>
      </c>
      <c r="B9" s="42">
        <f>'قائمة الدخل'!B10</f>
        <v>200.0</v>
      </c>
      <c r="C9" s="42">
        <f>'قائمة الدخل'!C10</f>
        <v>200.0</v>
      </c>
      <c r="D9" s="42">
        <f>'قائمة الدخل'!D10</f>
        <v>200.0</v>
      </c>
      <c r="E9" s="42">
        <f>'قائمة الدخل'!E10</f>
        <v>200.0</v>
      </c>
      <c r="F9" s="42">
        <f>'قائمة الدخل'!F10</f>
        <v>200.0</v>
      </c>
      <c r="G9" s="42">
        <f>'قائمة الدخل'!G10</f>
        <v>200.0</v>
      </c>
      <c r="H9" s="42">
        <f>'قائمة الدخل'!H10</f>
        <v>200.0</v>
      </c>
      <c r="I9" s="42">
        <f>'قائمة الدخل'!I10</f>
        <v>200.0</v>
      </c>
      <c r="J9" s="42">
        <f>'قائمة الدخل'!J10</f>
        <v>200.0</v>
      </c>
      <c r="K9" s="42">
        <f>'قائمة الدخل'!K10</f>
        <v>200.0</v>
      </c>
      <c r="L9" s="42">
        <f>'قائمة الدخل'!L10</f>
        <v>200.0</v>
      </c>
      <c r="M9" s="43">
        <f>'قائمة الدخل'!M10</f>
        <v>200.0</v>
      </c>
      <c r="N9" s="81">
        <f>'قائمة الدخل'!O10</f>
        <v>3000.0</v>
      </c>
      <c r="O9" s="42">
        <f>'قائمة الدخل'!P10</f>
        <v>3750.0</v>
      </c>
      <c r="P9" s="42">
        <f>'قائمة الدخل'!Q10</f>
        <v>4687.5</v>
      </c>
      <c r="Q9" s="50">
        <f>'قائمة الدخل'!R10</f>
        <v>5859.375</v>
      </c>
    </row>
    <row r="10" spans="8:8">
      <c r="A10" s="5" t="s">
        <v>42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50" t="e">
        <f>'قائمة الدخل'!N13</f>
        <v>#REF!</v>
      </c>
      <c r="N10" s="81">
        <f>'قائمة الدخل'!O13</f>
        <v>1001.6875</v>
      </c>
      <c r="O10" s="42">
        <f>'قائمة الدخل'!P13</f>
        <v>4729.01171875</v>
      </c>
      <c r="P10" s="42">
        <f>'قائمة الدخل'!Q13</f>
        <v>11300.61206054682</v>
      </c>
      <c r="Q10" s="50">
        <f>'قائمة الدخل'!R13</f>
        <v>22503.307907104423</v>
      </c>
    </row>
    <row r="11" spans="8:8">
      <c r="A11" s="77" t="s">
        <v>51</v>
      </c>
      <c r="B11" s="51">
        <f>B13-B12</f>
        <v>43000.0</v>
      </c>
      <c r="C11" s="51">
        <f t="shared" si="1" ref="C11:M11">C13-C12</f>
        <v>0.0</v>
      </c>
      <c r="D11" s="51">
        <f t="shared" si="1"/>
        <v>0.0</v>
      </c>
      <c r="E11" s="51">
        <f t="shared" si="1"/>
        <v>0.0</v>
      </c>
      <c r="F11" s="51">
        <f t="shared" si="1"/>
        <v>0.0</v>
      </c>
      <c r="G11" s="51">
        <f t="shared" si="1"/>
        <v>0.0</v>
      </c>
      <c r="H11" s="51">
        <f t="shared" si="1"/>
        <v>0.0</v>
      </c>
      <c r="I11" s="51">
        <f t="shared" si="1"/>
        <v>0.0</v>
      </c>
      <c r="J11" s="51">
        <f t="shared" si="1"/>
        <v>0.0</v>
      </c>
      <c r="K11" s="51">
        <f t="shared" si="1"/>
        <v>0.0</v>
      </c>
      <c r="L11" s="51">
        <f t="shared" si="1"/>
        <v>0.0</v>
      </c>
      <c r="M11" s="52">
        <f t="shared" si="1"/>
        <v>0.0</v>
      </c>
      <c r="N11" s="82">
        <f t="shared" si="2" ref="N11">N13-N12</f>
        <v>0.0</v>
      </c>
      <c r="O11" s="51">
        <f t="shared" si="3" ref="O11">O13-O12</f>
        <v>0.0</v>
      </c>
      <c r="P11" s="51">
        <f t="shared" si="4" ref="P11">P13-P12</f>
        <v>0.0</v>
      </c>
      <c r="Q11" s="52">
        <f t="shared" si="5" ref="Q11">Q13-Q12</f>
        <v>0.0</v>
      </c>
    </row>
    <row r="12" spans="8:8">
      <c r="A12" s="5" t="s">
        <v>60</v>
      </c>
      <c r="B12" s="42">
        <f>الإفتراضات!B13</f>
        <v>7000.0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9"/>
      <c r="N12" s="5"/>
      <c r="O12" s="67"/>
      <c r="P12" s="67"/>
      <c r="Q12" s="69"/>
    </row>
    <row r="13" spans="8:8">
      <c r="A13" s="5" t="s">
        <v>55</v>
      </c>
      <c r="B13" s="12">
        <v>50000.0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9"/>
      <c r="N13" s="5"/>
      <c r="O13" s="67"/>
      <c r="P13" s="67"/>
      <c r="Q13" s="69"/>
    </row>
    <row r="14" spans="8:8">
      <c r="A14" s="77" t="s">
        <v>52</v>
      </c>
      <c r="B14" s="51">
        <f>B15-B16</f>
        <v>0.0</v>
      </c>
      <c r="C14" s="51">
        <f t="shared" si="6" ref="C14:M14">C15-C16</f>
        <v>0.0</v>
      </c>
      <c r="D14" s="51">
        <f t="shared" si="6"/>
        <v>0.0</v>
      </c>
      <c r="E14" s="51">
        <f t="shared" si="6"/>
        <v>0.0</v>
      </c>
      <c r="F14" s="51">
        <f t="shared" si="6"/>
        <v>0.0</v>
      </c>
      <c r="G14" s="51">
        <f t="shared" si="6"/>
        <v>0.0</v>
      </c>
      <c r="H14" s="51">
        <f t="shared" si="6"/>
        <v>0.0</v>
      </c>
      <c r="I14" s="51">
        <f t="shared" si="6"/>
        <v>0.0</v>
      </c>
      <c r="J14" s="51">
        <f t="shared" si="6"/>
        <v>0.0</v>
      </c>
      <c r="K14" s="51">
        <f t="shared" si="6"/>
        <v>0.0</v>
      </c>
      <c r="L14" s="51">
        <f t="shared" si="6"/>
        <v>0.0</v>
      </c>
      <c r="M14" s="52">
        <f t="shared" si="6"/>
        <v>0.0</v>
      </c>
      <c r="N14" s="82">
        <f t="shared" si="7" ref="N14">N15-N16</f>
        <v>0.0</v>
      </c>
      <c r="O14" s="51">
        <f t="shared" si="8" ref="O14">O15-O16</f>
        <v>0.0</v>
      </c>
      <c r="P14" s="51">
        <f t="shared" si="9" ref="P14">P15-P16</f>
        <v>0.0</v>
      </c>
      <c r="Q14" s="52">
        <f t="shared" si="10" ref="Q14">Q15-Q16</f>
        <v>0.0</v>
      </c>
    </row>
    <row r="15" spans="8:8">
      <c r="A15" s="5" t="s">
        <v>56</v>
      </c>
      <c r="B15" s="42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9"/>
      <c r="N15" s="5"/>
      <c r="O15" s="67"/>
      <c r="P15" s="67"/>
      <c r="Q15" s="69"/>
    </row>
    <row r="16" spans="8:8">
      <c r="A16" s="83" t="s">
        <v>57</v>
      </c>
      <c r="B16" s="84"/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86"/>
      <c r="N16" s="83"/>
      <c r="O16" s="85"/>
      <c r="P16" s="85"/>
      <c r="Q16" s="86"/>
    </row>
    <row r="17" spans="8:8">
      <c r="A17" s="87" t="s">
        <v>58</v>
      </c>
      <c r="B17" s="88">
        <f t="shared" si="11" ref="B17:Q17">B2+B11+B14</f>
        <v>36505.0</v>
      </c>
      <c r="C17" s="89">
        <f t="shared" si="11"/>
        <v>-1537.5</v>
      </c>
      <c r="D17" s="89">
        <f t="shared" si="11"/>
        <v>-1442.5</v>
      </c>
      <c r="E17" s="89">
        <f t="shared" si="11"/>
        <v>-1347.5</v>
      </c>
      <c r="F17" s="89">
        <f t="shared" si="11"/>
        <v>-1252.5</v>
      </c>
      <c r="G17" s="89">
        <f t="shared" si="11"/>
        <v>-1157.5</v>
      </c>
      <c r="H17" s="89" t="e">
        <f t="shared" si="11"/>
        <v>#REF!</v>
      </c>
      <c r="I17" s="89">
        <f t="shared" si="11"/>
        <v>-967.5</v>
      </c>
      <c r="J17" s="89">
        <f t="shared" si="11"/>
        <v>-872.5</v>
      </c>
      <c r="K17" s="89">
        <f t="shared" si="11"/>
        <v>-777.5</v>
      </c>
      <c r="L17" s="89">
        <f t="shared" si="11"/>
        <v>-682.5</v>
      </c>
      <c r="M17" s="90" t="e">
        <f t="shared" si="11"/>
        <v>#REF!</v>
      </c>
      <c r="N17" s="91">
        <f t="shared" si="11"/>
        <v>4951.4375</v>
      </c>
      <c r="O17" s="92">
        <f t="shared" si="11"/>
        <v>18166.49609375</v>
      </c>
      <c r="P17" s="92">
        <f t="shared" si="11"/>
        <v>41465.806396484</v>
      </c>
      <c r="Q17" s="93">
        <f t="shared" si="11"/>
        <v>81184.455307007</v>
      </c>
    </row>
    <row r="18" spans="8:8">
      <c r="A18" s="13" t="s">
        <v>59</v>
      </c>
      <c r="B18" s="94">
        <f>B17</f>
        <v>36505.0</v>
      </c>
      <c r="C18" s="94">
        <f>B18+C17</f>
        <v>34967.5</v>
      </c>
      <c r="D18" s="94">
        <f>D17+C18</f>
        <v>33525.0</v>
      </c>
      <c r="E18" s="95">
        <f t="shared" si="12" ref="E18:Q18">E17+D18</f>
        <v>32177.5</v>
      </c>
      <c r="F18" s="95">
        <f t="shared" si="12"/>
        <v>30925.0</v>
      </c>
      <c r="G18" s="95">
        <f t="shared" si="12"/>
        <v>29767.5</v>
      </c>
      <c r="H18" s="95" t="e">
        <f t="shared" si="12"/>
        <v>#REF!</v>
      </c>
      <c r="I18" s="95" t="e">
        <f t="shared" si="12"/>
        <v>#REF!</v>
      </c>
      <c r="J18" s="95" t="e">
        <f t="shared" si="12"/>
        <v>#REF!</v>
      </c>
      <c r="K18" s="95" t="e">
        <f t="shared" si="12"/>
        <v>#REF!</v>
      </c>
      <c r="L18" s="95" t="e">
        <f t="shared" si="12"/>
        <v>#REF!</v>
      </c>
      <c r="M18" s="96" t="e">
        <f t="shared" si="12"/>
        <v>#REF!</v>
      </c>
      <c r="N18" s="96" t="e">
        <f t="shared" si="12"/>
        <v>#REF!</v>
      </c>
      <c r="O18" s="96" t="e">
        <f t="shared" si="12"/>
        <v>#REF!</v>
      </c>
      <c r="P18" s="96" t="e">
        <f t="shared" si="12"/>
        <v>#REF!</v>
      </c>
      <c r="Q18" s="96" t="e">
        <f t="shared" si="12"/>
        <v>#REF!</v>
      </c>
    </row>
  </sheetData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="http://schemas.openxmlformats.org/spreadsheetml/2006/main">
  <dimension ref="A1:R74"/>
  <sheetViews>
    <sheetView workbookViewId="0" rightToLeft="1" zoomScale="113">
      <selection activeCell="B6" sqref="B6"/>
    </sheetView>
  </sheetViews>
  <sheetFormatPr defaultRowHeight="15.0" defaultColWidth="10"/>
  <cols>
    <col min="1" max="1" customWidth="1" width="1.2460938" style="0"/>
    <col min="2" max="2" customWidth="1" bestFit="1" width="11.285156" style="97"/>
    <col min="3" max="3" customWidth="1" width="19.0" style="0"/>
    <col min="4" max="4" customWidth="1" bestFit="1" width="11.285156" style="97"/>
  </cols>
  <sheetData>
    <row r="1" spans="8:8">
      <c r="A1" s="98" t="s">
        <v>81</v>
      </c>
      <c r="B1" s="99"/>
      <c r="C1" s="99"/>
      <c r="D1" s="100"/>
    </row>
    <row r="2" spans="8:8">
      <c r="A2" s="101" t="s">
        <v>67</v>
      </c>
      <c r="B2" s="102"/>
      <c r="C2" s="102" t="s">
        <v>68</v>
      </c>
      <c r="D2" s="103"/>
    </row>
    <row r="3" spans="8:8">
      <c r="A3" s="5" t="s">
        <v>69</v>
      </c>
      <c r="B3" s="42" t="e">
        <f>'قائمة التدفق النقدي'!M18</f>
        <v>#REF!</v>
      </c>
      <c r="C3" s="67" t="s">
        <v>74</v>
      </c>
      <c r="D3" s="50">
        <f>'قائمة الدخل'!N3-SUM('قائمة التدفق النقدي'!B4:M4)</f>
        <v>0.0</v>
      </c>
    </row>
    <row r="4" spans="8:8">
      <c r="A4" s="5" t="s">
        <v>71</v>
      </c>
      <c r="B4" s="42" t="e">
        <f>'قائمة الدخل'!N2-SUM('قائمة التدفق النقدي'!B3:M3)</f>
        <v>#REF!</v>
      </c>
      <c r="C4" s="67" t="s">
        <v>75</v>
      </c>
      <c r="D4" s="50">
        <f>'قائمة الدخل'!N5-SUM('قائمة التدفق النقدي'!B5:M5)</f>
        <v>0.0</v>
      </c>
    </row>
    <row r="5" spans="8:8">
      <c r="A5" s="5" t="s">
        <v>72</v>
      </c>
      <c r="B5" s="42">
        <f>الإفتراضات!B13</f>
        <v>7000.0</v>
      </c>
      <c r="C5" s="67" t="s">
        <v>76</v>
      </c>
      <c r="D5" s="50">
        <f>'قائمة الدخل'!N6-SUM('قائمة التدفق النقدي'!B6:M6)</f>
        <v>0.0</v>
      </c>
    </row>
    <row r="6" spans="8:8">
      <c r="A6" s="5" t="s">
        <v>73</v>
      </c>
      <c r="B6" s="42">
        <f>-SUM('قائمة الدخل'!B9:M9)</f>
        <v>-1400.0000000000002</v>
      </c>
      <c r="C6" s="67" t="s">
        <v>77</v>
      </c>
      <c r="D6" s="50">
        <f>'قائمة الدخل'!N7-SUM('قائمة التدفق النقدي'!B7:M7)</f>
        <v>0.0</v>
      </c>
    </row>
    <row r="7" spans="8:8">
      <c r="A7" s="5" t="s">
        <v>70</v>
      </c>
      <c r="B7" s="42">
        <f>SUM('قائمة التدفق النقدي'!B4:M4)-SUM('قائمة الدخل'!B3:M3)</f>
        <v>0.0</v>
      </c>
      <c r="C7" s="67" t="s">
        <v>78</v>
      </c>
      <c r="D7" s="50">
        <f>'قائمة الدخل'!N8-SUM('قائمة التدفق النقدي'!B8:M8)</f>
        <v>0.0</v>
      </c>
    </row>
    <row r="8" spans="8:8">
      <c r="A8" s="5"/>
      <c r="B8" s="42"/>
      <c r="C8" s="67" t="s">
        <v>40</v>
      </c>
      <c r="D8" s="50">
        <f>'قائمة الدخل'!N10-SUM('قائمة التدفق النقدي'!B9:M9)</f>
        <v>0.0</v>
      </c>
    </row>
    <row r="9" spans="8:8">
      <c r="A9" s="5"/>
      <c r="B9" s="42"/>
      <c r="C9" s="67" t="s">
        <v>79</v>
      </c>
      <c r="D9" s="50">
        <f>'قائمة التدفق النقدي'!B13</f>
        <v>50000.0</v>
      </c>
    </row>
    <row r="10" spans="8:8">
      <c r="A10" s="5"/>
      <c r="B10" s="42"/>
      <c r="C10" s="67" t="s">
        <v>80</v>
      </c>
      <c r="D10" s="50" t="e">
        <f>'قائمة الدخل'!N14</f>
        <v>#REF!</v>
      </c>
    </row>
    <row r="11" spans="8:8">
      <c r="A11" s="104" t="s">
        <v>82</v>
      </c>
      <c r="B11" s="105" t="e">
        <f>SUM(B3:B10)</f>
        <v>#REF!</v>
      </c>
      <c r="C11" s="106" t="s">
        <v>83</v>
      </c>
      <c r="D11" s="107" t="e">
        <f>SUM(D3:D10)</f>
        <v>#REF!</v>
      </c>
    </row>
    <row r="12" spans="8:8">
      <c r="A12" t="s">
        <v>84</v>
      </c>
      <c r="B12" s="97" t="e">
        <f>B11-D11</f>
        <v>#REF!</v>
      </c>
    </row>
    <row r="14" spans="8:8">
      <c r="A14" s="98" t="s">
        <v>85</v>
      </c>
      <c r="B14" s="99"/>
      <c r="C14" s="99"/>
      <c r="D14" s="100"/>
    </row>
    <row r="15" spans="8:8">
      <c r="A15" s="101" t="s">
        <v>67</v>
      </c>
      <c r="B15" s="102"/>
      <c r="C15" s="102" t="s">
        <v>68</v>
      </c>
      <c r="D15" s="103"/>
    </row>
    <row r="16" spans="8:8">
      <c r="A16" s="5" t="s">
        <v>69</v>
      </c>
      <c r="B16" s="42" t="e">
        <f>'قائمة التدفق النقدي'!N18</f>
        <v>#REF!</v>
      </c>
      <c r="C16" s="67" t="s">
        <v>74</v>
      </c>
      <c r="D16" s="50">
        <f>D3+'قائمة الدخل'!O3-'قائمة التدفق النقدي'!N4</f>
        <v>0.0</v>
      </c>
    </row>
    <row r="17" spans="8:8">
      <c r="A17" s="5" t="s">
        <v>71</v>
      </c>
      <c r="B17" s="42" t="e">
        <f>B4+'قائمة الدخل'!O2-'قائمة التدفق النقدي'!N3</f>
        <v>#REF!</v>
      </c>
      <c r="C17" s="67" t="s">
        <v>75</v>
      </c>
      <c r="D17" s="50">
        <f>D4+'قائمة الدخل'!O5-'قائمة التدفق النقدي'!N5</f>
        <v>0.0</v>
      </c>
    </row>
    <row r="18" spans="8:8">
      <c r="A18" s="5" t="s">
        <v>72</v>
      </c>
      <c r="B18" s="42">
        <f>B5</f>
        <v>7000.0</v>
      </c>
      <c r="C18" s="67" t="s">
        <v>76</v>
      </c>
      <c r="D18" s="50">
        <f>D5+'قائمة الدخل'!O6-'قائمة التدفق النقدي'!N6</f>
        <v>0.0</v>
      </c>
    </row>
    <row r="19" spans="8:8">
      <c r="A19" s="5" t="s">
        <v>73</v>
      </c>
      <c r="B19" s="42">
        <f>B6-'قائمة الدخل'!O9</f>
        <v>-2800.0</v>
      </c>
      <c r="C19" s="67" t="s">
        <v>77</v>
      </c>
      <c r="D19" s="50">
        <f>D6+'قائمة الدخل'!O7-'قائمة التدفق النقدي'!N7</f>
        <v>0.0</v>
      </c>
    </row>
    <row r="20" spans="8:8">
      <c r="A20" s="5" t="s">
        <v>70</v>
      </c>
      <c r="B20" s="42">
        <f>B7+'قائمة التدفق النقدي'!N4-'قائمة الدخل'!O3</f>
        <v>0.0</v>
      </c>
      <c r="C20" s="67" t="s">
        <v>78</v>
      </c>
      <c r="D20" s="50">
        <f>D7+'قائمة الدخل'!O8-'قائمة التدفق النقدي'!N8</f>
        <v>0.0</v>
      </c>
    </row>
    <row r="21" spans="8:8">
      <c r="A21" s="5"/>
      <c r="B21" s="42"/>
      <c r="C21" s="67" t="s">
        <v>40</v>
      </c>
      <c r="D21" s="50">
        <f>D8+'قائمة الدخل'!O10-'قائمة التدفق النقدي'!N9</f>
        <v>0.0</v>
      </c>
    </row>
    <row r="22" spans="8:8">
      <c r="A22" s="5"/>
      <c r="B22" s="42"/>
      <c r="C22" s="67" t="s">
        <v>79</v>
      </c>
      <c r="D22" s="50">
        <f>D9</f>
        <v>50000.0</v>
      </c>
    </row>
    <row r="23" spans="8:8">
      <c r="A23" s="5"/>
      <c r="B23" s="42"/>
      <c r="C23" s="67" t="s">
        <v>80</v>
      </c>
      <c r="D23" s="50" t="e">
        <f>D10</f>
        <v>#REF!</v>
      </c>
    </row>
    <row r="24" spans="8:8">
      <c r="A24" s="83"/>
      <c r="B24" s="84"/>
      <c r="C24" s="85" t="s">
        <v>86</v>
      </c>
      <c r="D24" s="108">
        <f>'قائمة الدخل'!O14</f>
        <v>3551.4375</v>
      </c>
    </row>
    <row r="25" spans="8:8">
      <c r="A25" s="104" t="s">
        <v>82</v>
      </c>
      <c r="B25" s="105" t="e">
        <f>SUM(B16:B24)</f>
        <v>#REF!</v>
      </c>
      <c r="C25" s="106" t="s">
        <v>83</v>
      </c>
      <c r="D25" s="107" t="e">
        <f>SUM(D16:D24)</f>
        <v>#REF!</v>
      </c>
    </row>
    <row r="26" spans="8:8">
      <c r="A26" t="s">
        <v>84</v>
      </c>
      <c r="B26" s="97" t="e">
        <f>B25-D25</f>
        <v>#REF!</v>
      </c>
    </row>
    <row r="28" spans="8:8">
      <c r="A28" s="98" t="s">
        <v>87</v>
      </c>
      <c r="B28" s="99"/>
      <c r="C28" s="99"/>
      <c r="D28" s="100"/>
    </row>
    <row r="29" spans="8:8">
      <c r="A29" s="101" t="s">
        <v>67</v>
      </c>
      <c r="B29" s="102"/>
      <c r="C29" s="102" t="s">
        <v>68</v>
      </c>
      <c r="D29" s="103"/>
    </row>
    <row r="30" spans="8:8">
      <c r="A30" s="5" t="s">
        <v>69</v>
      </c>
      <c r="B30" s="42" t="e">
        <f>'قائمة التدفق النقدي'!O18</f>
        <v>#REF!</v>
      </c>
      <c r="C30" s="67" t="s">
        <v>74</v>
      </c>
      <c r="D30" s="50">
        <f>D16+'قائمة الدخل'!P3-'قائمة التدفق النقدي'!O4</f>
        <v>0.0</v>
      </c>
    </row>
    <row r="31" spans="8:8">
      <c r="A31" s="5" t="s">
        <v>71</v>
      </c>
      <c r="B31" s="42" t="e">
        <f>B17+'قائمة الدخل'!P2-'قائمة التدفق النقدي'!O3</f>
        <v>#REF!</v>
      </c>
      <c r="C31" s="67" t="s">
        <v>75</v>
      </c>
      <c r="D31" s="50">
        <f>D17+'قائمة الدخل'!P5-'قائمة التدفق النقدي'!O5</f>
        <v>0.0</v>
      </c>
    </row>
    <row r="32" spans="8:8">
      <c r="A32" s="5" t="s">
        <v>72</v>
      </c>
      <c r="B32" s="42">
        <f>الإفتراضات!B13</f>
        <v>7000.0</v>
      </c>
      <c r="C32" s="67" t="s">
        <v>76</v>
      </c>
      <c r="D32" s="50">
        <f>D18+'قائمة الدخل'!P6-'قائمة التدفق النقدي'!O6</f>
        <v>0.0</v>
      </c>
    </row>
    <row r="33" spans="8:8">
      <c r="A33" s="5" t="s">
        <v>73</v>
      </c>
      <c r="B33" s="42">
        <f>B19-'قائمة الدخل'!P9</f>
        <v>-4200.0</v>
      </c>
      <c r="C33" s="67" t="s">
        <v>77</v>
      </c>
      <c r="D33" s="50">
        <f>D19+'قائمة الدخل'!P7-'قائمة التدفق النقدي'!O7</f>
        <v>0.0</v>
      </c>
    </row>
    <row r="34" spans="8:8">
      <c r="A34" s="5" t="s">
        <v>70</v>
      </c>
      <c r="B34" s="42">
        <f>B20+'قائمة التدفق النقدي'!O4-'قائمة الدخل'!P3</f>
        <v>0.0</v>
      </c>
      <c r="C34" s="67" t="s">
        <v>78</v>
      </c>
      <c r="D34" s="50">
        <f>D20+'قائمة الدخل'!P8-'قائمة التدفق النقدي'!O8</f>
        <v>0.0</v>
      </c>
    </row>
    <row r="35" spans="8:8">
      <c r="A35" s="5"/>
      <c r="B35" s="42"/>
      <c r="C35" s="67" t="s">
        <v>40</v>
      </c>
      <c r="D35" s="50">
        <f>D21+'قائمة الدخل'!P10-'قائمة التدفق النقدي'!O9</f>
        <v>0.0</v>
      </c>
    </row>
    <row r="36" spans="8:8">
      <c r="A36" s="5"/>
      <c r="B36" s="42"/>
      <c r="C36" s="67" t="s">
        <v>79</v>
      </c>
      <c r="D36" s="50">
        <f>D22</f>
        <v>50000.0</v>
      </c>
    </row>
    <row r="37" spans="8:8">
      <c r="A37" s="5"/>
      <c r="B37" s="42"/>
      <c r="C37" s="67" t="s">
        <v>80</v>
      </c>
      <c r="D37" s="50" t="e">
        <f>D23</f>
        <v>#REF!</v>
      </c>
    </row>
    <row r="38" spans="8:8">
      <c r="A38" s="5"/>
      <c r="B38" s="42"/>
      <c r="C38" s="67" t="s">
        <v>86</v>
      </c>
      <c r="D38" s="50">
        <f>D24</f>
        <v>3551.4375</v>
      </c>
    </row>
    <row r="39" spans="8:8">
      <c r="A39" s="13"/>
      <c r="B39" s="70"/>
      <c r="C39" s="71" t="s">
        <v>88</v>
      </c>
      <c r="D39" s="109">
        <f>'قائمة الدخل'!P14</f>
        <v>16766.49609375</v>
      </c>
    </row>
    <row r="40" spans="8:8">
      <c r="A40" s="104" t="s">
        <v>82</v>
      </c>
      <c r="B40" s="105" t="e">
        <f>SUM(B30:B38)</f>
        <v>#REF!</v>
      </c>
      <c r="C40" s="106" t="s">
        <v>83</v>
      </c>
      <c r="D40" s="107" t="e">
        <f>SUM(D30:D39)</f>
        <v>#REF!</v>
      </c>
    </row>
    <row r="41" spans="8:8">
      <c r="A41" t="s">
        <v>84</v>
      </c>
      <c r="B41" s="97" t="e">
        <f>B40-D40</f>
        <v>#REF!</v>
      </c>
    </row>
    <row r="43" spans="8:8">
      <c r="A43" s="98" t="s">
        <v>89</v>
      </c>
      <c r="B43" s="99"/>
      <c r="C43" s="99"/>
      <c r="D43" s="100"/>
    </row>
    <row r="44" spans="8:8">
      <c r="A44" s="101" t="s">
        <v>67</v>
      </c>
      <c r="B44" s="102"/>
      <c r="C44" s="102" t="s">
        <v>68</v>
      </c>
      <c r="D44" s="103"/>
    </row>
    <row r="45" spans="8:8">
      <c r="A45" s="5" t="s">
        <v>69</v>
      </c>
      <c r="B45" s="42" t="e">
        <f>'قائمة التدفق النقدي'!P18</f>
        <v>#REF!</v>
      </c>
      <c r="C45" s="67" t="s">
        <v>74</v>
      </c>
      <c r="D45" s="50">
        <f>D30+'قائمة الدخل'!Q3-'قائمة التدفق النقدي'!P4</f>
        <v>0.0</v>
      </c>
    </row>
    <row r="46" spans="8:8">
      <c r="A46" s="5" t="s">
        <v>71</v>
      </c>
      <c r="B46" s="42" t="e">
        <f>B31+'قائمة الدخل'!Q2-'قائمة التدفق النقدي'!P3</f>
        <v>#REF!</v>
      </c>
      <c r="C46" s="67" t="s">
        <v>75</v>
      </c>
      <c r="D46" s="50">
        <f>D31+'قائمة الدخل'!Q5-'قائمة التدفق النقدي'!P5</f>
        <v>0.0</v>
      </c>
    </row>
    <row r="47" spans="8:8">
      <c r="A47" s="5" t="s">
        <v>72</v>
      </c>
      <c r="B47" s="42">
        <f>الإفتراضات!B13</f>
        <v>7000.0</v>
      </c>
      <c r="C47" s="67" t="s">
        <v>76</v>
      </c>
      <c r="D47" s="50">
        <f>D32+'قائمة الدخل'!Q6-'قائمة التدفق النقدي'!P6</f>
        <v>0.0</v>
      </c>
    </row>
    <row r="48" spans="8:8">
      <c r="A48" s="5" t="s">
        <v>73</v>
      </c>
      <c r="B48" s="42">
        <f>B33-'قائمة الدخل'!Q9</f>
        <v>-5600.0</v>
      </c>
      <c r="C48" s="67" t="s">
        <v>77</v>
      </c>
      <c r="D48" s="50">
        <f>D33+'قائمة الدخل'!Q7-'قائمة التدفق النقدي'!P7</f>
        <v>0.0</v>
      </c>
    </row>
    <row r="49" spans="8:8">
      <c r="A49" s="5" t="s">
        <v>70</v>
      </c>
      <c r="B49" s="42"/>
      <c r="C49" s="67" t="s">
        <v>78</v>
      </c>
      <c r="D49" s="50">
        <f>D34+'قائمة الدخل'!Q8-'قائمة التدفق النقدي'!P8</f>
        <v>0.0</v>
      </c>
    </row>
    <row r="50" spans="8:8">
      <c r="A50" s="5"/>
      <c r="B50" s="42"/>
      <c r="C50" s="67" t="s">
        <v>40</v>
      </c>
      <c r="D50" s="50">
        <f>D35+'قائمة الدخل'!Q10-'قائمة التدفق النقدي'!P9</f>
        <v>0.0</v>
      </c>
    </row>
    <row r="51" spans="8:8">
      <c r="A51" s="5"/>
      <c r="B51" s="42"/>
      <c r="C51" s="67" t="s">
        <v>79</v>
      </c>
      <c r="D51" s="50">
        <f>D36</f>
        <v>50000.0</v>
      </c>
    </row>
    <row r="52" spans="8:8">
      <c r="A52" s="5"/>
      <c r="B52" s="42"/>
      <c r="C52" s="67" t="s">
        <v>80</v>
      </c>
      <c r="D52" s="50" t="e">
        <f>D37</f>
        <v>#REF!</v>
      </c>
    </row>
    <row r="53" spans="8:8">
      <c r="A53" s="5"/>
      <c r="B53" s="42"/>
      <c r="C53" s="67" t="s">
        <v>86</v>
      </c>
      <c r="D53" s="50">
        <f>D38</f>
        <v>3551.4375</v>
      </c>
    </row>
    <row r="54" spans="8:8">
      <c r="A54" s="83"/>
      <c r="B54" s="84"/>
      <c r="C54" s="85" t="s">
        <v>88</v>
      </c>
      <c r="D54" s="108">
        <f>D39</f>
        <v>16766.49609375</v>
      </c>
    </row>
    <row r="55" spans="8:8">
      <c r="A55" s="13"/>
      <c r="B55" s="70"/>
      <c r="C55" s="71" t="s">
        <v>90</v>
      </c>
      <c r="D55" s="109">
        <f>'قائمة الدخل'!Q14</f>
        <v>40065.8063964842</v>
      </c>
    </row>
    <row r="56" spans="8:8">
      <c r="A56" s="104" t="s">
        <v>82</v>
      </c>
      <c r="B56" s="105" t="e">
        <f>SUM(B45:B55)</f>
        <v>#REF!</v>
      </c>
      <c r="C56" s="106" t="s">
        <v>83</v>
      </c>
      <c r="D56" s="107" t="e">
        <f>SUM(D45:D55)</f>
        <v>#REF!</v>
      </c>
    </row>
    <row r="57" spans="8:8">
      <c r="A57" t="s">
        <v>84</v>
      </c>
      <c r="B57" s="97" t="e">
        <f>B56-D56</f>
        <v>#REF!</v>
      </c>
    </row>
    <row r="59" spans="8:8">
      <c r="A59" s="98" t="s">
        <v>91</v>
      </c>
      <c r="B59" s="99"/>
      <c r="C59" s="99"/>
      <c r="D59" s="100"/>
    </row>
    <row r="60" spans="8:8">
      <c r="A60" s="101" t="s">
        <v>67</v>
      </c>
      <c r="B60" s="102"/>
      <c r="C60" s="102" t="s">
        <v>68</v>
      </c>
      <c r="D60" s="103"/>
    </row>
    <row r="61" spans="8:8">
      <c r="A61" s="5" t="s">
        <v>69</v>
      </c>
      <c r="B61" s="42" t="e">
        <f>'قائمة التدفق النقدي'!Q18</f>
        <v>#REF!</v>
      </c>
      <c r="C61" s="67" t="s">
        <v>74</v>
      </c>
      <c r="D61" s="50">
        <f>D45+'قائمة الدخل'!R3-'قائمة التدفق النقدي'!Q4</f>
        <v>0.0</v>
      </c>
    </row>
    <row r="62" spans="8:8">
      <c r="A62" s="5" t="s">
        <v>71</v>
      </c>
      <c r="B62" s="42" t="e">
        <f>B46+'قائمة الدخل'!R2-'قائمة التدفق النقدي'!Q3</f>
        <v>#REF!</v>
      </c>
      <c r="C62" s="67" t="s">
        <v>75</v>
      </c>
      <c r="D62" s="50">
        <f>D46+'قائمة الدخل'!R5-'قائمة التدفق النقدي'!Q5</f>
        <v>0.0</v>
      </c>
    </row>
    <row r="63" spans="8:8">
      <c r="A63" s="5" t="s">
        <v>72</v>
      </c>
      <c r="B63" s="42">
        <f>الإفتراضات!B13</f>
        <v>7000.0</v>
      </c>
      <c r="C63" s="67" t="s">
        <v>76</v>
      </c>
      <c r="D63" s="50">
        <f>D47+'قائمة الدخل'!R6-'قائمة التدفق النقدي'!Q6</f>
        <v>0.0</v>
      </c>
    </row>
    <row r="64" spans="8:8">
      <c r="A64" s="5" t="s">
        <v>73</v>
      </c>
      <c r="B64" s="42">
        <f>B48-'قائمة الدخل'!R9</f>
        <v>-7000.0</v>
      </c>
      <c r="C64" s="67" t="s">
        <v>77</v>
      </c>
      <c r="D64" s="50">
        <f>D48+'قائمة الدخل'!R7-'قائمة التدفق النقدي'!Q7</f>
        <v>0.0</v>
      </c>
    </row>
    <row r="65" spans="8:8">
      <c r="A65" s="5" t="s">
        <v>70</v>
      </c>
      <c r="B65" s="42">
        <f>B49+'قائمة التدفق النقدي'!Q4-'قائمة الدخل'!R3</f>
        <v>0.0</v>
      </c>
      <c r="C65" s="67" t="s">
        <v>78</v>
      </c>
      <c r="D65" s="50">
        <f>D49+'قائمة الدخل'!R8-'قائمة التدفق النقدي'!Q8</f>
        <v>0.0</v>
      </c>
    </row>
    <row r="66" spans="8:8">
      <c r="A66" s="5"/>
      <c r="B66" s="42"/>
      <c r="C66" s="67" t="s">
        <v>40</v>
      </c>
      <c r="D66" s="50">
        <f>D50+'قائمة الدخل'!R10-'قائمة التدفق النقدي'!Q9</f>
        <v>0.0</v>
      </c>
    </row>
    <row r="67" spans="8:8">
      <c r="A67" s="5"/>
      <c r="B67" s="42"/>
      <c r="C67" s="67" t="s">
        <v>79</v>
      </c>
      <c r="D67" s="50">
        <f>D51</f>
        <v>50000.0</v>
      </c>
    </row>
    <row r="68" spans="8:8">
      <c r="A68" s="5"/>
      <c r="B68" s="42"/>
      <c r="C68" s="67" t="s">
        <v>80</v>
      </c>
      <c r="D68" s="50" t="e">
        <f>D52</f>
        <v>#REF!</v>
      </c>
    </row>
    <row r="69" spans="8:8">
      <c r="A69" s="5"/>
      <c r="B69" s="42"/>
      <c r="C69" s="67" t="s">
        <v>86</v>
      </c>
      <c r="D69" s="50">
        <f>D53</f>
        <v>3551.4375</v>
      </c>
    </row>
    <row r="70" spans="8:8">
      <c r="A70" s="83"/>
      <c r="B70" s="84"/>
      <c r="C70" s="85" t="s">
        <v>88</v>
      </c>
      <c r="D70" s="50">
        <f>D54</f>
        <v>16766.49609375</v>
      </c>
    </row>
    <row r="71" spans="8:8">
      <c r="A71" s="13"/>
      <c r="B71" s="70"/>
      <c r="C71" s="71" t="s">
        <v>90</v>
      </c>
      <c r="D71" s="50">
        <f>D55</f>
        <v>40065.8063964842</v>
      </c>
    </row>
    <row r="72" spans="8:8">
      <c r="A72" s="110"/>
      <c r="B72" s="111"/>
      <c r="C72" s="71" t="s">
        <v>92</v>
      </c>
      <c r="D72" s="112">
        <f>'قائمة الدخل'!R14</f>
        <v>79784.45530700659</v>
      </c>
    </row>
    <row r="73" spans="8:8">
      <c r="A73" s="104" t="s">
        <v>82</v>
      </c>
      <c r="B73" s="105" t="e">
        <f>SUM(B61:B71)</f>
        <v>#REF!</v>
      </c>
      <c r="C73" s="106" t="s">
        <v>83</v>
      </c>
      <c r="D73" s="107" t="e">
        <f>SUM(D61:D72)</f>
        <v>#REF!</v>
      </c>
    </row>
    <row r="74" spans="8:8">
      <c r="A74" t="s">
        <v>84</v>
      </c>
      <c r="B74" s="97" t="e">
        <f>B73-D73</f>
        <v>#REF!</v>
      </c>
    </row>
  </sheetData>
  <mergeCells count="15">
    <mergeCell ref="A1:D1"/>
    <mergeCell ref="A43:D43"/>
    <mergeCell ref="C29:D29"/>
    <mergeCell ref="A29:B29"/>
    <mergeCell ref="A44:B44"/>
    <mergeCell ref="A14:D14"/>
    <mergeCell ref="A2:B2"/>
    <mergeCell ref="A59:D59"/>
    <mergeCell ref="C60:D60"/>
    <mergeCell ref="A60:B60"/>
    <mergeCell ref="C44:D44"/>
    <mergeCell ref="A15:B15"/>
    <mergeCell ref="C2:D2"/>
    <mergeCell ref="C15:D15"/>
    <mergeCell ref="A28:D28"/>
  </mergeCells>
  <pageMargins left="0.7" right="0.7" top="0.75" bottom="0.75" header="0.3" footer="0.3"/>
</worksheet>
</file>

<file path=xl/worksheets/sheet6.xml><?xml version="1.0" encoding="utf-8"?>
<worksheet xmlns:r="http://schemas.openxmlformats.org/officeDocument/2006/relationships" xmlns="http://schemas.openxmlformats.org/spreadsheetml/2006/main">
  <dimension ref="A1:T6"/>
  <sheetViews>
    <sheetView workbookViewId="0" rightToLeft="1" zoomScale="129">
      <selection activeCell="D14" sqref="D14"/>
    </sheetView>
  </sheetViews>
  <sheetFormatPr defaultRowHeight="15.0" defaultColWidth="10"/>
  <cols>
    <col min="1" max="1" customWidth="1" bestFit="1" width="28.285156" style="1"/>
    <col min="2" max="2" customWidth="1" bestFit="1" width="10.425781" style="1"/>
    <col min="3" max="3" customWidth="1" width="14.8203125" style="1"/>
    <col min="4" max="6" customWidth="1" bestFit="1" width="11.285156" style="1"/>
    <col min="7" max="16384" customWidth="0" width="8.855469" style="1"/>
  </cols>
  <sheetData>
    <row r="1" spans="8:8">
      <c r="A1" s="31" t="s">
        <v>93</v>
      </c>
      <c r="B1" s="17">
        <v>1.0</v>
      </c>
      <c r="C1" s="17">
        <v>2.0</v>
      </c>
      <c r="D1" s="17">
        <v>3.0</v>
      </c>
      <c r="E1" s="17">
        <v>4.0</v>
      </c>
      <c r="F1" s="73">
        <v>5.0</v>
      </c>
    </row>
    <row r="2" spans="8:8">
      <c r="A2" s="20" t="s">
        <v>94</v>
      </c>
      <c r="B2" s="113" t="e">
        <f>'قائمة الدخل'!N18</f>
        <v>#REF!</v>
      </c>
      <c r="C2" s="113">
        <f>'قائمة الدخل'!O18</f>
        <v>0.016344784253658696</v>
      </c>
      <c r="D2" s="113">
        <f>'قائمة الدخل'!P18</f>
        <v>0.04294370017259802</v>
      </c>
      <c r="E2" s="113">
        <f>'قائمة الدخل'!Q18</f>
        <v>0.05711013300955299</v>
      </c>
      <c r="F2" s="114">
        <f>'قائمة الدخل'!R18</f>
        <v>0.06329067122475708</v>
      </c>
    </row>
    <row r="3" spans="8:8">
      <c r="A3" s="20" t="s">
        <v>95</v>
      </c>
      <c r="B3" s="113" t="e">
        <f>'قائمة الدخل'!N19</f>
        <v>#REF!</v>
      </c>
      <c r="C3" s="113">
        <f>'قائمة الدخل'!O19</f>
        <v>0.05370793950850662</v>
      </c>
      <c r="D3" s="113">
        <f>'قائمة الدخل'!P19</f>
        <v>0.22048486685296298</v>
      </c>
      <c r="E3" s="113">
        <f>'قائمة الدخل'!Q19</f>
        <v>0.4581550968898392</v>
      </c>
      <c r="F3" s="114">
        <f>'قائمة الدخل'!R19</f>
        <v>0.7933395003417971</v>
      </c>
    </row>
    <row r="4" spans="8:8">
      <c r="A4" s="20" t="s">
        <v>96</v>
      </c>
      <c r="B4" s="25">
        <v>6.0</v>
      </c>
      <c r="C4" s="25" t="s">
        <v>66</v>
      </c>
      <c r="D4" s="25"/>
      <c r="E4" s="25"/>
      <c r="F4" s="7"/>
    </row>
    <row r="5" spans="8:8">
      <c r="A5" s="20" t="s">
        <v>97</v>
      </c>
      <c r="B5" s="24">
        <v>15000.0</v>
      </c>
      <c r="C5" s="25" t="str">
        <f>الإفتراضات!B2</f>
        <v>دولار أمريكي</v>
      </c>
      <c r="D5" s="25"/>
      <c r="E5" s="25"/>
      <c r="F5" s="7"/>
    </row>
    <row r="6" spans="8:8">
      <c r="A6" s="26" t="s">
        <v>101</v>
      </c>
      <c r="B6" s="29">
        <f>'قائمة الدخل'!N20</f>
        <v>132689.2138939671</v>
      </c>
      <c r="C6" s="29">
        <f>'قائمة الدخل'!O20</f>
        <v>149170.1421800948</v>
      </c>
      <c r="D6" s="29">
        <f>'قائمة الدخل'!P20</f>
        <v>185299.8815165877</v>
      </c>
      <c r="E6" s="29">
        <f>'قائمة الدخل'!Q20</f>
        <v>230462.05568720447</v>
      </c>
      <c r="F6" s="115">
        <f>'قائمة الدخل'!R20</f>
        <v>286914.7734004743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Ghazi AL Mahayni</dc:creator>
  <cp:lastModifiedBy>lenovo</cp:lastModifiedBy>
  <dcterms:created xsi:type="dcterms:W3CDTF">٢٠٢٢-١٠-٢١T٠٢:١٠:٢١Z</dcterms:created>
  <dcterms:modified xsi:type="dcterms:W3CDTF">٢٠٢٣-٠٨-١٤T١٤:٤٨:٤٥Z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a198c619496042aaa76c5ef5961b9648</vt:lpwstr>
  </property>
</Properties>
</file>