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منصة نماء\"/>
    </mc:Choice>
  </mc:AlternateContent>
  <xr:revisionPtr revIDLastSave="0" documentId="13_ncr:1_{A835035B-0714-4F53-B2C3-6104F77117EE}" xr6:coauthVersionLast="47" xr6:coauthVersionMax="47" xr10:uidLastSave="{00000000-0000-0000-0000-000000000000}"/>
  <bookViews>
    <workbookView xWindow="28680" yWindow="-120" windowWidth="29040" windowHeight="15840" activeTab="5" xr2:uid="{950CBA3C-C649-4978-824C-1AA054ABA576}"/>
  </bookViews>
  <sheets>
    <sheet name="الإفتراضات" sheetId="4" r:id="rId1"/>
    <sheet name="الإيرادات و التكاليف المباشرة" sheetId="1" r:id="rId2"/>
    <sheet name="قائمة الدخل" sheetId="3" r:id="rId3"/>
    <sheet name="قائمة التدفق النقدي" sheetId="5" r:id="rId4"/>
    <sheet name="الميزانية الختامية" sheetId="6" r:id="rId5"/>
    <sheet name="الملخص المالي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3" l="1"/>
  <c r="O58" i="1"/>
  <c r="P58" i="1" s="1"/>
  <c r="Q58" i="1" s="1"/>
  <c r="N58" i="1"/>
  <c r="O52" i="1"/>
  <c r="N52" i="1"/>
  <c r="O46" i="1"/>
  <c r="N46" i="1"/>
  <c r="O40" i="1"/>
  <c r="P40" i="1" s="1"/>
  <c r="Q40" i="1" s="1"/>
  <c r="N40" i="1"/>
  <c r="O34" i="1"/>
  <c r="P34" i="1" s="1"/>
  <c r="N34" i="1"/>
  <c r="O28" i="1"/>
  <c r="N28" i="1"/>
  <c r="O22" i="1"/>
  <c r="N22" i="1"/>
  <c r="O16" i="1"/>
  <c r="P16" i="1" s="1"/>
  <c r="Q16" i="1" s="1"/>
  <c r="N16" i="1"/>
  <c r="O10" i="1"/>
  <c r="P10" i="1" s="1"/>
  <c r="Q10" i="1" s="1"/>
  <c r="R10" i="1" s="1"/>
  <c r="N10" i="1"/>
  <c r="O4" i="1"/>
  <c r="P4" i="1" s="1"/>
  <c r="Q4" i="1" s="1"/>
  <c r="R4" i="1" s="1"/>
  <c r="R58" i="1" l="1"/>
  <c r="P52" i="1"/>
  <c r="P46" i="1"/>
  <c r="R40" i="1"/>
  <c r="Q34" i="1"/>
  <c r="P28" i="1"/>
  <c r="P22" i="1"/>
  <c r="R16" i="1"/>
  <c r="Q52" i="1" l="1"/>
  <c r="Q46" i="1"/>
  <c r="R34" i="1"/>
  <c r="Q28" i="1"/>
  <c r="Q22" i="1"/>
  <c r="R52" i="1" l="1"/>
  <c r="R46" i="1"/>
  <c r="R28" i="1"/>
  <c r="R22" i="1"/>
  <c r="C5" i="7" l="1"/>
  <c r="B63" i="6" l="1"/>
  <c r="B47" i="6"/>
  <c r="B32" i="6"/>
  <c r="P11" i="5"/>
  <c r="D9" i="6"/>
  <c r="D22" i="6" s="1"/>
  <c r="D36" i="6" s="1"/>
  <c r="D51" i="6" s="1"/>
  <c r="D67" i="6" s="1"/>
  <c r="B5" i="6"/>
  <c r="B18" i="6" s="1"/>
  <c r="Q14" i="5"/>
  <c r="P14" i="5"/>
  <c r="O14" i="5"/>
  <c r="N14" i="5"/>
  <c r="O11" i="5"/>
  <c r="N11" i="5"/>
  <c r="C14" i="5"/>
  <c r="D14" i="5"/>
  <c r="E14" i="5"/>
  <c r="F14" i="5"/>
  <c r="G14" i="5"/>
  <c r="H14" i="5"/>
  <c r="I14" i="5"/>
  <c r="J14" i="5"/>
  <c r="K14" i="5"/>
  <c r="L14" i="5"/>
  <c r="M14" i="5"/>
  <c r="C11" i="5"/>
  <c r="D11" i="5"/>
  <c r="E11" i="5"/>
  <c r="F11" i="5"/>
  <c r="G11" i="5"/>
  <c r="H11" i="5"/>
  <c r="I11" i="5"/>
  <c r="J11" i="5"/>
  <c r="K11" i="5"/>
  <c r="L11" i="5"/>
  <c r="M11" i="5"/>
  <c r="B14" i="5"/>
  <c r="O60" i="1"/>
  <c r="O59" i="1"/>
  <c r="O54" i="1"/>
  <c r="O53" i="1"/>
  <c r="O48" i="1"/>
  <c r="O45" i="1" s="1"/>
  <c r="O47" i="1"/>
  <c r="O42" i="1"/>
  <c r="O39" i="1" s="1"/>
  <c r="O41" i="1"/>
  <c r="O38" i="1" s="1"/>
  <c r="O36" i="1"/>
  <c r="O35" i="1"/>
  <c r="O32" i="1" s="1"/>
  <c r="O30" i="1"/>
  <c r="O29" i="1"/>
  <c r="O24" i="1"/>
  <c r="O23" i="1"/>
  <c r="O18" i="1"/>
  <c r="O17" i="1"/>
  <c r="O12" i="1"/>
  <c r="P12" i="1" s="1"/>
  <c r="Q12" i="1" s="1"/>
  <c r="R12" i="1" s="1"/>
  <c r="O11" i="1"/>
  <c r="P11" i="1" s="1"/>
  <c r="Q11" i="1" s="1"/>
  <c r="R11" i="1" s="1"/>
  <c r="O6" i="1"/>
  <c r="P6" i="1" s="1"/>
  <c r="Q6" i="1" s="1"/>
  <c r="R6" i="1" s="1"/>
  <c r="O5" i="1"/>
  <c r="P5" i="1" s="1"/>
  <c r="Q5" i="1" s="1"/>
  <c r="R5" i="1" s="1"/>
  <c r="C9" i="5"/>
  <c r="D9" i="5"/>
  <c r="E9" i="5"/>
  <c r="F9" i="5"/>
  <c r="G9" i="5"/>
  <c r="H9" i="5"/>
  <c r="I9" i="5"/>
  <c r="J9" i="5"/>
  <c r="K9" i="5"/>
  <c r="L9" i="5"/>
  <c r="O10" i="3"/>
  <c r="P10" i="3" s="1"/>
  <c r="Q10" i="3" s="1"/>
  <c r="R10" i="3" s="1"/>
  <c r="B9" i="5"/>
  <c r="C8" i="3"/>
  <c r="C8" i="5" s="1"/>
  <c r="D8" i="3"/>
  <c r="D8" i="5" s="1"/>
  <c r="E8" i="3"/>
  <c r="E8" i="5" s="1"/>
  <c r="F8" i="3"/>
  <c r="F8" i="5" s="1"/>
  <c r="G8" i="3"/>
  <c r="G8" i="5" s="1"/>
  <c r="H8" i="3"/>
  <c r="H8" i="5" s="1"/>
  <c r="I8" i="3"/>
  <c r="I8" i="5" s="1"/>
  <c r="J8" i="3"/>
  <c r="J8" i="5" s="1"/>
  <c r="K8" i="3"/>
  <c r="K8" i="5" s="1"/>
  <c r="L8" i="3"/>
  <c r="L8" i="5" s="1"/>
  <c r="M8" i="3"/>
  <c r="M8" i="5" s="1"/>
  <c r="B8" i="3"/>
  <c r="B8" i="5" s="1"/>
  <c r="C7" i="3"/>
  <c r="C7" i="5" s="1"/>
  <c r="D7" i="3"/>
  <c r="D7" i="5" s="1"/>
  <c r="E7" i="3"/>
  <c r="E7" i="5" s="1"/>
  <c r="F7" i="3"/>
  <c r="F7" i="5" s="1"/>
  <c r="G7" i="3"/>
  <c r="G7" i="5" s="1"/>
  <c r="H7" i="3"/>
  <c r="H7" i="5" s="1"/>
  <c r="I7" i="3"/>
  <c r="I7" i="5" s="1"/>
  <c r="J7" i="3"/>
  <c r="J7" i="5" s="1"/>
  <c r="K7" i="3"/>
  <c r="K7" i="5" s="1"/>
  <c r="L7" i="3"/>
  <c r="L7" i="5" s="1"/>
  <c r="M7" i="3"/>
  <c r="O7" i="3" s="1"/>
  <c r="B7" i="3"/>
  <c r="B7" i="5" s="1"/>
  <c r="C6" i="3"/>
  <c r="C6" i="5" s="1"/>
  <c r="D6" i="3"/>
  <c r="D6" i="5" s="1"/>
  <c r="E6" i="3"/>
  <c r="E6" i="5" s="1"/>
  <c r="F6" i="3"/>
  <c r="F6" i="5" s="1"/>
  <c r="G6" i="3"/>
  <c r="G6" i="5" s="1"/>
  <c r="H6" i="3"/>
  <c r="H6" i="5" s="1"/>
  <c r="I6" i="3"/>
  <c r="I6" i="5" s="1"/>
  <c r="J6" i="3"/>
  <c r="J6" i="5" s="1"/>
  <c r="K6" i="3"/>
  <c r="K6" i="5" s="1"/>
  <c r="L6" i="3"/>
  <c r="L6" i="5" s="1"/>
  <c r="M6" i="3"/>
  <c r="M6" i="5" s="1"/>
  <c r="B6" i="3"/>
  <c r="B6" i="5" s="1"/>
  <c r="C5" i="3"/>
  <c r="D5" i="3"/>
  <c r="D5" i="5" s="1"/>
  <c r="E5" i="3"/>
  <c r="E5" i="5" s="1"/>
  <c r="F5" i="3"/>
  <c r="F5" i="5" s="1"/>
  <c r="G5" i="3"/>
  <c r="G5" i="5" s="1"/>
  <c r="H5" i="3"/>
  <c r="I5" i="3"/>
  <c r="I5" i="5" s="1"/>
  <c r="J5" i="3"/>
  <c r="J5" i="5" s="1"/>
  <c r="K5" i="3"/>
  <c r="L5" i="3"/>
  <c r="L5" i="5" s="1"/>
  <c r="M5" i="3"/>
  <c r="M5" i="5" s="1"/>
  <c r="B5" i="3"/>
  <c r="B5" i="5" s="1"/>
  <c r="M57" i="1"/>
  <c r="L57" i="1"/>
  <c r="K57" i="1"/>
  <c r="J57" i="1"/>
  <c r="I57" i="1"/>
  <c r="H57" i="1"/>
  <c r="G57" i="1"/>
  <c r="F57" i="1"/>
  <c r="E57" i="1"/>
  <c r="D57" i="1"/>
  <c r="C57" i="1"/>
  <c r="B57" i="1"/>
  <c r="M56" i="1"/>
  <c r="L56" i="1"/>
  <c r="K56" i="1"/>
  <c r="J56" i="1"/>
  <c r="I56" i="1"/>
  <c r="H56" i="1"/>
  <c r="G56" i="1"/>
  <c r="F56" i="1"/>
  <c r="E56" i="1"/>
  <c r="D56" i="1"/>
  <c r="C56" i="1"/>
  <c r="B56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M45" i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39" i="1"/>
  <c r="L39" i="1"/>
  <c r="K39" i="1"/>
  <c r="J39" i="1"/>
  <c r="I39" i="1"/>
  <c r="H39" i="1"/>
  <c r="G39" i="1"/>
  <c r="F39" i="1"/>
  <c r="E39" i="1"/>
  <c r="D39" i="1"/>
  <c r="C39" i="1"/>
  <c r="B39" i="1"/>
  <c r="M38" i="1"/>
  <c r="L38" i="1"/>
  <c r="K38" i="1"/>
  <c r="J38" i="1"/>
  <c r="I38" i="1"/>
  <c r="H38" i="1"/>
  <c r="G38" i="1"/>
  <c r="F38" i="1"/>
  <c r="E38" i="1"/>
  <c r="D38" i="1"/>
  <c r="C38" i="1"/>
  <c r="B38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9" i="1"/>
  <c r="L9" i="1"/>
  <c r="K9" i="1"/>
  <c r="J9" i="1"/>
  <c r="I9" i="1"/>
  <c r="H9" i="1"/>
  <c r="G9" i="1"/>
  <c r="F9" i="1"/>
  <c r="E9" i="1"/>
  <c r="D9" i="1"/>
  <c r="C9" i="1"/>
  <c r="B9" i="1"/>
  <c r="M8" i="1"/>
  <c r="L8" i="1"/>
  <c r="K8" i="1"/>
  <c r="J8" i="1"/>
  <c r="I8" i="1"/>
  <c r="H8" i="1"/>
  <c r="G8" i="1"/>
  <c r="F8" i="1"/>
  <c r="E8" i="1"/>
  <c r="D8" i="1"/>
  <c r="C8" i="1"/>
  <c r="B8" i="1"/>
  <c r="C3" i="1"/>
  <c r="D3" i="1"/>
  <c r="E3" i="1"/>
  <c r="F3" i="1"/>
  <c r="G3" i="1"/>
  <c r="H3" i="1"/>
  <c r="I3" i="1"/>
  <c r="J3" i="1"/>
  <c r="K3" i="1"/>
  <c r="L3" i="1"/>
  <c r="M3" i="1"/>
  <c r="B3" i="1"/>
  <c r="N4" i="1"/>
  <c r="C2" i="1"/>
  <c r="D2" i="1"/>
  <c r="E2" i="1"/>
  <c r="F2" i="1"/>
  <c r="G2" i="1"/>
  <c r="H2" i="1"/>
  <c r="I2" i="1"/>
  <c r="J2" i="1"/>
  <c r="K2" i="1"/>
  <c r="L2" i="1"/>
  <c r="M2" i="1"/>
  <c r="B2" i="1"/>
  <c r="N56" i="1" l="1"/>
  <c r="P59" i="1"/>
  <c r="O56" i="1"/>
  <c r="P60" i="1"/>
  <c r="O57" i="1"/>
  <c r="N57" i="1"/>
  <c r="N50" i="1"/>
  <c r="P53" i="1"/>
  <c r="O50" i="1"/>
  <c r="P54" i="1"/>
  <c r="P51" i="1" s="1"/>
  <c r="O51" i="1"/>
  <c r="N51" i="1"/>
  <c r="N44" i="1"/>
  <c r="N45" i="1"/>
  <c r="P47" i="1"/>
  <c r="O44" i="1"/>
  <c r="N38" i="1"/>
  <c r="N39" i="1"/>
  <c r="N32" i="1"/>
  <c r="P36" i="1"/>
  <c r="O33" i="1"/>
  <c r="N33" i="1"/>
  <c r="N26" i="1"/>
  <c r="P29" i="1"/>
  <c r="O26" i="1"/>
  <c r="P30" i="1"/>
  <c r="O27" i="1"/>
  <c r="N27" i="1"/>
  <c r="P24" i="1"/>
  <c r="O21" i="1"/>
  <c r="N21" i="1"/>
  <c r="N20" i="1"/>
  <c r="P23" i="1"/>
  <c r="O20" i="1"/>
  <c r="N14" i="1"/>
  <c r="N15" i="1"/>
  <c r="P17" i="1"/>
  <c r="O14" i="1"/>
  <c r="P18" i="1"/>
  <c r="O15" i="1"/>
  <c r="B6" i="6"/>
  <c r="B19" i="6" s="1"/>
  <c r="B33" i="6" s="1"/>
  <c r="B48" i="6" s="1"/>
  <c r="B64" i="6" s="1"/>
  <c r="O9" i="5"/>
  <c r="M9" i="5"/>
  <c r="N9" i="5"/>
  <c r="Q9" i="5"/>
  <c r="P9" i="5"/>
  <c r="O8" i="3"/>
  <c r="P7" i="3"/>
  <c r="N7" i="5"/>
  <c r="O5" i="3"/>
  <c r="M7" i="5"/>
  <c r="O6" i="3"/>
  <c r="K5" i="5"/>
  <c r="C5" i="5"/>
  <c r="H5" i="5"/>
  <c r="M63" i="1"/>
  <c r="M3" i="3" s="1"/>
  <c r="M4" i="5" s="1"/>
  <c r="B63" i="1"/>
  <c r="B3" i="3" s="1"/>
  <c r="F62" i="1"/>
  <c r="F2" i="3" s="1"/>
  <c r="G3" i="5" s="1"/>
  <c r="H62" i="1"/>
  <c r="H2" i="3" s="1"/>
  <c r="I3" i="5" s="1"/>
  <c r="E63" i="1"/>
  <c r="E3" i="3" s="1"/>
  <c r="E4" i="5" s="1"/>
  <c r="G62" i="1"/>
  <c r="I62" i="1"/>
  <c r="F63" i="1"/>
  <c r="F3" i="3" s="1"/>
  <c r="F4" i="5" s="1"/>
  <c r="D63" i="1"/>
  <c r="D3" i="3" s="1"/>
  <c r="D4" i="5" s="1"/>
  <c r="K63" i="1"/>
  <c r="K3" i="3" s="1"/>
  <c r="K4" i="5" s="1"/>
  <c r="C63" i="1"/>
  <c r="C3" i="3" s="1"/>
  <c r="C4" i="5" s="1"/>
  <c r="L63" i="1"/>
  <c r="L3" i="3" s="1"/>
  <c r="L4" i="5" s="1"/>
  <c r="M62" i="1"/>
  <c r="M2" i="3" s="1"/>
  <c r="E62" i="1"/>
  <c r="E2" i="3" s="1"/>
  <c r="F3" i="5" s="1"/>
  <c r="J63" i="1"/>
  <c r="J3" i="3" s="1"/>
  <c r="J4" i="5" s="1"/>
  <c r="J62" i="1"/>
  <c r="J2" i="3" s="1"/>
  <c r="K3" i="5" s="1"/>
  <c r="P42" i="1"/>
  <c r="B62" i="1"/>
  <c r="L62" i="1"/>
  <c r="L2" i="3" s="1"/>
  <c r="M3" i="5" s="1"/>
  <c r="D62" i="1"/>
  <c r="D2" i="3" s="1"/>
  <c r="E3" i="5" s="1"/>
  <c r="I63" i="1"/>
  <c r="I3" i="3" s="1"/>
  <c r="I4" i="5" s="1"/>
  <c r="K62" i="1"/>
  <c r="C62" i="1"/>
  <c r="C2" i="3" s="1"/>
  <c r="D3" i="5" s="1"/>
  <c r="H63" i="1"/>
  <c r="H3" i="3" s="1"/>
  <c r="H4" i="5" s="1"/>
  <c r="G63" i="1"/>
  <c r="G3" i="3" s="1"/>
  <c r="G4" i="5" s="1"/>
  <c r="P48" i="1"/>
  <c r="P41" i="1"/>
  <c r="P35" i="1"/>
  <c r="O3" i="1"/>
  <c r="N10" i="3"/>
  <c r="S10" i="3" s="1"/>
  <c r="N9" i="3"/>
  <c r="N8" i="3"/>
  <c r="N7" i="3"/>
  <c r="N6" i="3"/>
  <c r="D5" i="6" s="1"/>
  <c r="N5" i="3"/>
  <c r="N3" i="1"/>
  <c r="N8" i="1"/>
  <c r="O9" i="1"/>
  <c r="O8" i="1"/>
  <c r="N9" i="1"/>
  <c r="P9" i="1"/>
  <c r="O2" i="1"/>
  <c r="N2" i="1"/>
  <c r="P2" i="1"/>
  <c r="I2" i="3" l="1"/>
  <c r="J3" i="5" s="1"/>
  <c r="J2" i="5" s="1"/>
  <c r="J17" i="5" s="1"/>
  <c r="I64" i="1"/>
  <c r="Q54" i="1"/>
  <c r="Q51" i="1" s="1"/>
  <c r="B4" i="5"/>
  <c r="B7" i="6" s="1"/>
  <c r="D7" i="6"/>
  <c r="D20" i="6" s="1"/>
  <c r="K2" i="5"/>
  <c r="Q60" i="1"/>
  <c r="P57" i="1"/>
  <c r="G2" i="5"/>
  <c r="Q59" i="1"/>
  <c r="P56" i="1"/>
  <c r="Q53" i="1"/>
  <c r="P50" i="1"/>
  <c r="Q47" i="1"/>
  <c r="P44" i="1"/>
  <c r="Q48" i="1"/>
  <c r="P45" i="1"/>
  <c r="Q41" i="1"/>
  <c r="P38" i="1"/>
  <c r="Q42" i="1"/>
  <c r="P39" i="1"/>
  <c r="Q36" i="1"/>
  <c r="P33" i="1"/>
  <c r="Q35" i="1"/>
  <c r="P32" i="1"/>
  <c r="Q30" i="1"/>
  <c r="P27" i="1"/>
  <c r="Q29" i="1"/>
  <c r="P26" i="1"/>
  <c r="I2" i="5"/>
  <c r="I17" i="5" s="1"/>
  <c r="Q23" i="1"/>
  <c r="P20" i="1"/>
  <c r="Q24" i="1"/>
  <c r="P21" i="1"/>
  <c r="Q18" i="1"/>
  <c r="P15" i="1"/>
  <c r="Q17" i="1"/>
  <c r="P14" i="1"/>
  <c r="E2" i="5"/>
  <c r="E17" i="5" s="1"/>
  <c r="D2" i="5"/>
  <c r="D17" i="5" s="1"/>
  <c r="F2" i="5"/>
  <c r="F17" i="5" s="1"/>
  <c r="D8" i="6"/>
  <c r="D21" i="6" s="1"/>
  <c r="D35" i="6" s="1"/>
  <c r="D50" i="6" s="1"/>
  <c r="D66" i="6" s="1"/>
  <c r="D6" i="6"/>
  <c r="D19" i="6" s="1"/>
  <c r="D4" i="6"/>
  <c r="P8" i="3"/>
  <c r="N6" i="5"/>
  <c r="D18" i="6" s="1"/>
  <c r="P6" i="3"/>
  <c r="N5" i="5"/>
  <c r="P5" i="3"/>
  <c r="O7" i="5"/>
  <c r="Q7" i="3"/>
  <c r="E64" i="1"/>
  <c r="E4" i="3" s="1"/>
  <c r="E13" i="3" s="1"/>
  <c r="E14" i="3" s="1"/>
  <c r="B64" i="1"/>
  <c r="B4" i="3" s="1"/>
  <c r="G64" i="1"/>
  <c r="G4" i="3" s="1"/>
  <c r="G13" i="3" s="1"/>
  <c r="G14" i="3" s="1"/>
  <c r="H64" i="1"/>
  <c r="H4" i="3" s="1"/>
  <c r="H13" i="3" s="1"/>
  <c r="G2" i="3"/>
  <c r="M64" i="1"/>
  <c r="M4" i="3" s="1"/>
  <c r="M13" i="3" s="1"/>
  <c r="M14" i="3" s="1"/>
  <c r="F64" i="1"/>
  <c r="F4" i="3" s="1"/>
  <c r="F12" i="3" s="1"/>
  <c r="F13" i="3" s="1"/>
  <c r="L64" i="1"/>
  <c r="L4" i="3" s="1"/>
  <c r="L13" i="3" s="1"/>
  <c r="L14" i="3" s="1"/>
  <c r="B2" i="3"/>
  <c r="K64" i="1"/>
  <c r="K4" i="3" s="1"/>
  <c r="K13" i="3" s="1"/>
  <c r="K14" i="3" s="1"/>
  <c r="C64" i="1"/>
  <c r="C4" i="3" s="1"/>
  <c r="J64" i="1"/>
  <c r="J4" i="3" s="1"/>
  <c r="J13" i="3" s="1"/>
  <c r="J14" i="3" s="1"/>
  <c r="K2" i="3"/>
  <c r="D64" i="1"/>
  <c r="D4" i="3" s="1"/>
  <c r="D13" i="3" s="1"/>
  <c r="I4" i="3"/>
  <c r="I13" i="3" s="1"/>
  <c r="I14" i="3" s="1"/>
  <c r="N63" i="1"/>
  <c r="N3" i="3" s="1"/>
  <c r="N62" i="1"/>
  <c r="O63" i="1"/>
  <c r="O3" i="3" s="1"/>
  <c r="N4" i="5" s="1"/>
  <c r="O62" i="1"/>
  <c r="O2" i="3" s="1"/>
  <c r="N3" i="5" s="1"/>
  <c r="R2" i="1"/>
  <c r="P3" i="1"/>
  <c r="R9" i="1"/>
  <c r="Q9" i="1"/>
  <c r="P8" i="1"/>
  <c r="R54" i="1" l="1"/>
  <c r="R51" i="1" s="1"/>
  <c r="S51" i="1" s="1"/>
  <c r="G20" i="3"/>
  <c r="B20" i="6"/>
  <c r="J20" i="3"/>
  <c r="H20" i="3"/>
  <c r="D20" i="3"/>
  <c r="B2" i="5"/>
  <c r="B17" i="5" s="1"/>
  <c r="B18" i="5" s="1"/>
  <c r="D3" i="6"/>
  <c r="D16" i="6" s="1"/>
  <c r="K20" i="3"/>
  <c r="E20" i="3"/>
  <c r="B20" i="3"/>
  <c r="I20" i="3"/>
  <c r="F20" i="3"/>
  <c r="C20" i="3"/>
  <c r="M20" i="3"/>
  <c r="L20" i="3"/>
  <c r="R60" i="1"/>
  <c r="R57" i="1" s="1"/>
  <c r="Q57" i="1"/>
  <c r="R59" i="1"/>
  <c r="R56" i="1" s="1"/>
  <c r="Q56" i="1"/>
  <c r="R53" i="1"/>
  <c r="R50" i="1" s="1"/>
  <c r="Q50" i="1"/>
  <c r="R48" i="1"/>
  <c r="R45" i="1" s="1"/>
  <c r="Q45" i="1"/>
  <c r="R47" i="1"/>
  <c r="R44" i="1" s="1"/>
  <c r="Q44" i="1"/>
  <c r="R42" i="1"/>
  <c r="R39" i="1" s="1"/>
  <c r="Q39" i="1"/>
  <c r="S39" i="1" s="1"/>
  <c r="R41" i="1"/>
  <c r="R38" i="1" s="1"/>
  <c r="Q38" i="1"/>
  <c r="R36" i="1"/>
  <c r="R33" i="1" s="1"/>
  <c r="Q33" i="1"/>
  <c r="R35" i="1"/>
  <c r="R32" i="1" s="1"/>
  <c r="Q32" i="1"/>
  <c r="R29" i="1"/>
  <c r="R26" i="1" s="1"/>
  <c r="Q26" i="1"/>
  <c r="R30" i="1"/>
  <c r="R27" i="1" s="1"/>
  <c r="Q27" i="1"/>
  <c r="R24" i="1"/>
  <c r="R21" i="1" s="1"/>
  <c r="Q21" i="1"/>
  <c r="R23" i="1"/>
  <c r="R20" i="1" s="1"/>
  <c r="Q20" i="1"/>
  <c r="R17" i="1"/>
  <c r="R14" i="1" s="1"/>
  <c r="Q14" i="1"/>
  <c r="R18" i="1"/>
  <c r="R15" i="1" s="1"/>
  <c r="Q15" i="1"/>
  <c r="K17" i="5"/>
  <c r="L3" i="5"/>
  <c r="L2" i="5" s="1"/>
  <c r="L17" i="5" s="1"/>
  <c r="C3" i="5"/>
  <c r="C2" i="5" s="1"/>
  <c r="C17" i="5" s="1"/>
  <c r="G17" i="5"/>
  <c r="H3" i="5"/>
  <c r="H2" i="5" s="1"/>
  <c r="H17" i="5" s="1"/>
  <c r="D34" i="6"/>
  <c r="D33" i="6"/>
  <c r="D17" i="6"/>
  <c r="Q8" i="3"/>
  <c r="Q5" i="3"/>
  <c r="O5" i="5"/>
  <c r="R7" i="3"/>
  <c r="S7" i="3" s="1"/>
  <c r="P7" i="5"/>
  <c r="O6" i="5"/>
  <c r="D32" i="6" s="1"/>
  <c r="Q6" i="3"/>
  <c r="H14" i="3"/>
  <c r="C13" i="3"/>
  <c r="C14" i="3" s="1"/>
  <c r="N64" i="1"/>
  <c r="N4" i="3" s="1"/>
  <c r="P63" i="1"/>
  <c r="P3" i="3" s="1"/>
  <c r="O4" i="5" s="1"/>
  <c r="P62" i="1"/>
  <c r="P2" i="3" s="1"/>
  <c r="O3" i="5" s="1"/>
  <c r="O64" i="1"/>
  <c r="O4" i="3" s="1"/>
  <c r="O12" i="3" s="1"/>
  <c r="S9" i="1"/>
  <c r="Q2" i="1"/>
  <c r="N12" i="3"/>
  <c r="B13" i="3"/>
  <c r="B14" i="3" s="1"/>
  <c r="B15" i="3" s="1"/>
  <c r="F14" i="3"/>
  <c r="Q3" i="1"/>
  <c r="R3" i="1"/>
  <c r="Q8" i="1"/>
  <c r="R8" i="1"/>
  <c r="S21" i="1" l="1"/>
  <c r="D48" i="6"/>
  <c r="B34" i="6"/>
  <c r="N20" i="3"/>
  <c r="B6" i="7" s="1"/>
  <c r="S44" i="1"/>
  <c r="D49" i="6"/>
  <c r="C15" i="3"/>
  <c r="D15" i="3" s="1"/>
  <c r="E15" i="3" s="1"/>
  <c r="F15" i="3" s="1"/>
  <c r="G15" i="3" s="1"/>
  <c r="H15" i="3" s="1"/>
  <c r="I15" i="3" s="1"/>
  <c r="J15" i="3" s="1"/>
  <c r="K15" i="3" s="1"/>
  <c r="L15" i="3" s="1"/>
  <c r="M15" i="3" s="1"/>
  <c r="N15" i="3" s="1"/>
  <c r="O20" i="3"/>
  <c r="C6" i="7" s="1"/>
  <c r="S15" i="1"/>
  <c r="C18" i="5"/>
  <c r="D18" i="5" s="1"/>
  <c r="E18" i="5" s="1"/>
  <c r="F18" i="5" s="1"/>
  <c r="G18" i="5" s="1"/>
  <c r="H18" i="5" s="1"/>
  <c r="I18" i="5" s="1"/>
  <c r="J18" i="5" s="1"/>
  <c r="K18" i="5" s="1"/>
  <c r="L18" i="5" s="1"/>
  <c r="B4" i="6"/>
  <c r="B17" i="6" s="1"/>
  <c r="B31" i="6" s="1"/>
  <c r="D31" i="6"/>
  <c r="D30" i="6"/>
  <c r="R8" i="3"/>
  <c r="S45" i="1"/>
  <c r="P6" i="5"/>
  <c r="D47" i="6" s="1"/>
  <c r="R6" i="3"/>
  <c r="S6" i="3" s="1"/>
  <c r="R5" i="3"/>
  <c r="S5" i="3" s="1"/>
  <c r="P5" i="5"/>
  <c r="Q7" i="5"/>
  <c r="D64" i="6" s="1"/>
  <c r="S57" i="1"/>
  <c r="S56" i="1"/>
  <c r="S38" i="1"/>
  <c r="S33" i="1"/>
  <c r="N13" i="3"/>
  <c r="S50" i="1"/>
  <c r="S20" i="1"/>
  <c r="S27" i="1"/>
  <c r="O13" i="3"/>
  <c r="S32" i="1"/>
  <c r="Q63" i="1"/>
  <c r="Q3" i="3" s="1"/>
  <c r="P4" i="5" s="1"/>
  <c r="R63" i="1"/>
  <c r="R3" i="3" s="1"/>
  <c r="Q4" i="5" s="1"/>
  <c r="B65" i="6" s="1"/>
  <c r="S26" i="1"/>
  <c r="P64" i="1"/>
  <c r="P4" i="3" s="1"/>
  <c r="P12" i="3" s="1"/>
  <c r="S14" i="1"/>
  <c r="R62" i="1"/>
  <c r="R2" i="3" s="1"/>
  <c r="Q3" i="5" s="1"/>
  <c r="Q62" i="1"/>
  <c r="Q2" i="3" s="1"/>
  <c r="P3" i="5" s="1"/>
  <c r="S2" i="1"/>
  <c r="N14" i="3"/>
  <c r="S3" i="1"/>
  <c r="S8" i="1"/>
  <c r="D45" i="6" l="1"/>
  <c r="D61" i="6" s="1"/>
  <c r="S8" i="3"/>
  <c r="D46" i="6"/>
  <c r="M10" i="5"/>
  <c r="M2" i="5" s="1"/>
  <c r="M17" i="5" s="1"/>
  <c r="M18" i="5" s="1"/>
  <c r="B3" i="6" s="1"/>
  <c r="B11" i="6" s="1"/>
  <c r="D10" i="6"/>
  <c r="D23" i="6" s="1"/>
  <c r="N16" i="3"/>
  <c r="P20" i="3"/>
  <c r="D6" i="7" s="1"/>
  <c r="D65" i="6"/>
  <c r="O14" i="3"/>
  <c r="O15" i="3" s="1"/>
  <c r="N10" i="5"/>
  <c r="B46" i="6"/>
  <c r="B62" i="6" s="1"/>
  <c r="S11" i="3"/>
  <c r="Q5" i="5"/>
  <c r="Q6" i="5"/>
  <c r="D63" i="6" s="1"/>
  <c r="P13" i="3"/>
  <c r="S63" i="1"/>
  <c r="S3" i="3" s="1"/>
  <c r="R64" i="1"/>
  <c r="R4" i="3" s="1"/>
  <c r="Q64" i="1"/>
  <c r="Q4" i="3" s="1"/>
  <c r="Q12" i="3" s="1"/>
  <c r="Q13" i="3" s="1"/>
  <c r="S62" i="1"/>
  <c r="S4" i="1"/>
  <c r="D11" i="6" l="1"/>
  <c r="B12" i="6" s="1"/>
  <c r="D62" i="6"/>
  <c r="R20" i="3"/>
  <c r="F6" i="7" s="1"/>
  <c r="N18" i="3"/>
  <c r="B2" i="7" s="1"/>
  <c r="N19" i="3"/>
  <c r="B3" i="7" s="1"/>
  <c r="D24" i="6"/>
  <c r="D38" i="6" s="1"/>
  <c r="D53" i="6" s="1"/>
  <c r="D69" i="6" s="1"/>
  <c r="O16" i="3"/>
  <c r="Q20" i="3"/>
  <c r="E6" i="7" s="1"/>
  <c r="N2" i="5"/>
  <c r="N17" i="5" s="1"/>
  <c r="N18" i="5" s="1"/>
  <c r="B16" i="6" s="1"/>
  <c r="B25" i="6" s="1"/>
  <c r="D37" i="6"/>
  <c r="Q14" i="3"/>
  <c r="P10" i="5"/>
  <c r="P14" i="3"/>
  <c r="P15" i="3" s="1"/>
  <c r="O10" i="5"/>
  <c r="R12" i="3"/>
  <c r="R13" i="3" s="1"/>
  <c r="S13" i="3" s="1"/>
  <c r="T63" i="1"/>
  <c r="T62" i="1"/>
  <c r="S64" i="1"/>
  <c r="T64" i="1" s="1"/>
  <c r="S2" i="3"/>
  <c r="D25" i="6" l="1"/>
  <c r="B26" i="6" s="1"/>
  <c r="Q15" i="3"/>
  <c r="O18" i="3"/>
  <c r="C2" i="7" s="1"/>
  <c r="O19" i="3"/>
  <c r="C3" i="7" s="1"/>
  <c r="D39" i="6"/>
  <c r="D54" i="6" s="1"/>
  <c r="D70" i="6" s="1"/>
  <c r="P16" i="3"/>
  <c r="D55" i="6"/>
  <c r="D71" i="6" s="1"/>
  <c r="Q16" i="3"/>
  <c r="O2" i="5"/>
  <c r="O17" i="5" s="1"/>
  <c r="O18" i="5" s="1"/>
  <c r="B30" i="6" s="1"/>
  <c r="B40" i="6" s="1"/>
  <c r="P2" i="5"/>
  <c r="P17" i="5" s="1"/>
  <c r="R14" i="3"/>
  <c r="Q10" i="5"/>
  <c r="D52" i="6"/>
  <c r="S4" i="3"/>
  <c r="S20" i="3" s="1"/>
  <c r="R15" i="3" l="1"/>
  <c r="Q18" i="3"/>
  <c r="E2" i="7" s="1"/>
  <c r="Q19" i="3"/>
  <c r="E3" i="7" s="1"/>
  <c r="P18" i="3"/>
  <c r="D2" i="7" s="1"/>
  <c r="P19" i="3"/>
  <c r="D3" i="7" s="1"/>
  <c r="R16" i="3"/>
  <c r="S12" i="3"/>
  <c r="S14" i="3" s="1"/>
  <c r="T14" i="3" s="1"/>
  <c r="T4" i="3"/>
  <c r="D40" i="6"/>
  <c r="B41" i="6" s="1"/>
  <c r="P18" i="5"/>
  <c r="B45" i="6" s="1"/>
  <c r="B56" i="6" s="1"/>
  <c r="Q2" i="5"/>
  <c r="Q17" i="5" s="1"/>
  <c r="D68" i="6"/>
  <c r="D56" i="6"/>
  <c r="D72" i="6"/>
  <c r="B57" i="6" l="1"/>
  <c r="R18" i="3"/>
  <c r="F2" i="7" s="1"/>
  <c r="R19" i="3"/>
  <c r="F3" i="7" s="1"/>
  <c r="S16" i="3"/>
  <c r="Q18" i="5"/>
  <c r="B61" i="6" s="1"/>
  <c r="B73" i="6" s="1"/>
  <c r="D73" i="6"/>
  <c r="T16" i="3" l="1"/>
  <c r="S18" i="3"/>
  <c r="S19" i="3"/>
  <c r="B74" i="6"/>
</calcChain>
</file>

<file path=xl/sharedStrings.xml><?xml version="1.0" encoding="utf-8"?>
<sst xmlns="http://schemas.openxmlformats.org/spreadsheetml/2006/main" count="255" uniqueCount="112">
  <si>
    <t>الشهر</t>
  </si>
  <si>
    <t>سنة أولى</t>
  </si>
  <si>
    <t>سنة ثانية</t>
  </si>
  <si>
    <t>سنة ثالثة</t>
  </si>
  <si>
    <t>سنة رابعة</t>
  </si>
  <si>
    <t>سنة خامسة</t>
  </si>
  <si>
    <t>التكاليف المباشرة</t>
  </si>
  <si>
    <t>الكمية</t>
  </si>
  <si>
    <t>إيرادات المنتج/الخدمة 6</t>
  </si>
  <si>
    <t>إيرادات المنتج/الخدمة 7</t>
  </si>
  <si>
    <t>إيرادات المنتج/الخدمة 8</t>
  </si>
  <si>
    <t>إيرادات المنتج/الخدمة 9</t>
  </si>
  <si>
    <t>إيرادات المنتج/الخدمة 10</t>
  </si>
  <si>
    <t>إجمالي الإيرادات</t>
  </si>
  <si>
    <t>5 سنوات</t>
  </si>
  <si>
    <t>سعر المبيع</t>
  </si>
  <si>
    <t>سعر التكلفة</t>
  </si>
  <si>
    <t>إجمالي التكاليف</t>
  </si>
  <si>
    <t>تكاليف المنتج/الخدمة 6</t>
  </si>
  <si>
    <t>تكاليف المنتج/الخدمة 7</t>
  </si>
  <si>
    <t>تكاليف المنتج/الخدمة 8</t>
  </si>
  <si>
    <t>تكاليف المنتج/الخدمة 9</t>
  </si>
  <si>
    <t>تكاليف المنتج/الخدمة 10</t>
  </si>
  <si>
    <t>الربح المجمل</t>
  </si>
  <si>
    <t>الإيرادات</t>
  </si>
  <si>
    <t>الرواتب</t>
  </si>
  <si>
    <t>إيجار المقر</t>
  </si>
  <si>
    <t>الفواتير</t>
  </si>
  <si>
    <t>الدعاية و الإعلان</t>
  </si>
  <si>
    <t>إهتلاك المعدات</t>
  </si>
  <si>
    <t>مصاريف أخرى</t>
  </si>
  <si>
    <t>الربح الصافي قبل الضريبة</t>
  </si>
  <si>
    <t>الضريبة</t>
  </si>
  <si>
    <t>صافي الربح</t>
  </si>
  <si>
    <t>العملة</t>
  </si>
  <si>
    <t>التضخم السنوي</t>
  </si>
  <si>
    <t>العمر الإفتراضي للآلات</t>
  </si>
  <si>
    <t>سنوات</t>
  </si>
  <si>
    <t>قيمة الأصول الثابتة</t>
  </si>
  <si>
    <t>ضريبة الدخل</t>
  </si>
  <si>
    <t>صافي التدفق النقدي التشغيلي</t>
  </si>
  <si>
    <t>صافي التدفق النقدي الإستثماري</t>
  </si>
  <si>
    <t>صافي التدفق النقدي التمويلي</t>
  </si>
  <si>
    <t>التحصيلات النقدية</t>
  </si>
  <si>
    <t>الدعاية والإعلان</t>
  </si>
  <si>
    <t>الإستثمار الوارد</t>
  </si>
  <si>
    <t>القروض</t>
  </si>
  <si>
    <t>السداد</t>
  </si>
  <si>
    <t>صافي التدفق النقدي</t>
  </si>
  <si>
    <t>التدفق النقدي التراكمي</t>
  </si>
  <si>
    <t>الآلات والمعدات</t>
  </si>
  <si>
    <t>العائد على المبيعات ROS %</t>
  </si>
  <si>
    <t>نقطة التعادل</t>
  </si>
  <si>
    <t>فترة إسترداد رأس المال</t>
  </si>
  <si>
    <t>رأس المال المطلوب</t>
  </si>
  <si>
    <t>العائد السنوي على رأس المال ROI%</t>
  </si>
  <si>
    <t>الأصول</t>
  </si>
  <si>
    <t>المطاليب</t>
  </si>
  <si>
    <t>النقدية</t>
  </si>
  <si>
    <t>المخزون</t>
  </si>
  <si>
    <t>رصيد العملاء</t>
  </si>
  <si>
    <t>الأصول الثابتة</t>
  </si>
  <si>
    <t>مخصصات الإهتلاك</t>
  </si>
  <si>
    <t>رصيد الموردين</t>
  </si>
  <si>
    <t>رصيد الرواتب</t>
  </si>
  <si>
    <t>رصيد الإيجار</t>
  </si>
  <si>
    <t>رصيد الفواتير</t>
  </si>
  <si>
    <t>رصيد الدعاية و الإعلان</t>
  </si>
  <si>
    <t>رأس المال</t>
  </si>
  <si>
    <t>نتيجة أعمال السنة الأولى</t>
  </si>
  <si>
    <t>الميزانية الختامية - نهاية السنة الأولى</t>
  </si>
  <si>
    <t>إجمالي الأصول</t>
  </si>
  <si>
    <t>إجمالي المطاليب</t>
  </si>
  <si>
    <t>الفرق</t>
  </si>
  <si>
    <t>الميزانية الختامية - نهاية السنة الثانية</t>
  </si>
  <si>
    <t>نتيجة أعمال السنة الثانية</t>
  </si>
  <si>
    <t>الميزانية الختامية - نهاية السنة الثالثة</t>
  </si>
  <si>
    <t>نتيجة أعمال السنة الثالثة</t>
  </si>
  <si>
    <t>الميزانية الختامية - نهاية السنة الرابعة</t>
  </si>
  <si>
    <t>نتيجة أعمال السنة الرابعة</t>
  </si>
  <si>
    <t>الميزانية الختامية - نهاية السنة الخامسة</t>
  </si>
  <si>
    <t>نتيجة أعمال السنة الخامسة</t>
  </si>
  <si>
    <t>السنة</t>
  </si>
  <si>
    <t>العائد على المبيعات ROS%</t>
  </si>
  <si>
    <t>العائد على رأس المال ROI%</t>
  </si>
  <si>
    <t>فترة إسترداد رأس المال Payback period</t>
  </si>
  <si>
    <t>الحد الأدنى لرأس المال المطلوب Capital</t>
  </si>
  <si>
    <t>معامل الخصم</t>
  </si>
  <si>
    <t>صافي الربح المخصوم</t>
  </si>
  <si>
    <t xml:space="preserve">إجمالي المصاريف الإدارية </t>
  </si>
  <si>
    <t>نقطة التعادل بالإيرادات</t>
  </si>
  <si>
    <t>سنوياً</t>
  </si>
  <si>
    <t>من صافي الأرباح</t>
  </si>
  <si>
    <t xml:space="preserve">نسبة نمو المبيعات </t>
  </si>
  <si>
    <t>شهرياً</t>
  </si>
  <si>
    <t>لبدء العمل</t>
  </si>
  <si>
    <t>%</t>
  </si>
  <si>
    <t>مجمع صافي الربح</t>
  </si>
  <si>
    <t>إفتراضات الدراسة</t>
  </si>
  <si>
    <t>البضاعة</t>
  </si>
  <si>
    <t>دولار امريكي</t>
  </si>
  <si>
    <t>سنة</t>
  </si>
  <si>
    <t>إيرادات خدمة الأشتراك</t>
  </si>
  <si>
    <t>تكاليف خدمة الأشتراك</t>
  </si>
  <si>
    <t>خدمة تحويل لقصة مصورة</t>
  </si>
  <si>
    <t>التكاليف</t>
  </si>
  <si>
    <t>إيرادات المشاهدات</t>
  </si>
  <si>
    <t xml:space="preserve">التكاليف </t>
  </si>
  <si>
    <t>إيرادات النسخ الأونلاين</t>
  </si>
  <si>
    <t>تكاليف النسخ الأونلاين</t>
  </si>
  <si>
    <t>إيرادات نسخ المطبوعة</t>
  </si>
  <si>
    <t>تكاليف نسخ المطبوعة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</si>
</sst>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9" fontId="0" fillId="0" borderId="0" xfId="2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2" borderId="9" xfId="1" applyNumberFormat="1" applyFont="1" applyFill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2" xfId="1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9" fontId="2" fillId="0" borderId="7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9" fontId="2" fillId="0" borderId="13" xfId="2" applyFont="1" applyBorder="1" applyAlignment="1">
      <alignment horizontal="center"/>
    </xf>
    <xf numFmtId="0" fontId="0" fillId="0" borderId="8" xfId="0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0" fontId="0" fillId="0" borderId="11" xfId="0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0" fontId="0" fillId="0" borderId="14" xfId="0" applyBorder="1" applyAlignment="1">
      <alignment horizontal="center"/>
    </xf>
    <xf numFmtId="164" fontId="0" fillId="0" borderId="15" xfId="1" applyNumberFormat="1" applyFont="1" applyBorder="1"/>
    <xf numFmtId="0" fontId="2" fillId="0" borderId="5" xfId="0" applyFont="1" applyBorder="1" applyAlignment="1">
      <alignment horizontal="center"/>
    </xf>
    <xf numFmtId="164" fontId="0" fillId="0" borderId="8" xfId="1" applyNumberFormat="1" applyFont="1" applyBorder="1"/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right"/>
    </xf>
    <xf numFmtId="164" fontId="0" fillId="0" borderId="12" xfId="0" applyNumberFormat="1" applyBorder="1"/>
    <xf numFmtId="0" fontId="0" fillId="0" borderId="12" xfId="0" applyBorder="1"/>
    <xf numFmtId="0" fontId="0" fillId="0" borderId="13" xfId="0" applyBorder="1"/>
    <xf numFmtId="164" fontId="0" fillId="0" borderId="13" xfId="0" applyNumberFormat="1" applyBorder="1"/>
    <xf numFmtId="164" fontId="0" fillId="0" borderId="16" xfId="1" applyNumberFormat="1" applyFont="1" applyBorder="1"/>
    <xf numFmtId="0" fontId="0" fillId="0" borderId="5" xfId="0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1" applyNumberFormat="1" applyFont="1" applyBorder="1"/>
    <xf numFmtId="0" fontId="2" fillId="0" borderId="1" xfId="0" applyFont="1" applyBorder="1" applyAlignment="1">
      <alignment horizontal="center"/>
    </xf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17" xfId="1" applyNumberFormat="1" applyFont="1" applyBorder="1"/>
    <xf numFmtId="0" fontId="0" fillId="0" borderId="21" xfId="0" applyBorder="1"/>
    <xf numFmtId="164" fontId="0" fillId="0" borderId="22" xfId="1" applyNumberFormat="1" applyFont="1" applyBorder="1"/>
    <xf numFmtId="0" fontId="0" fillId="0" borderId="22" xfId="0" applyBorder="1"/>
    <xf numFmtId="0" fontId="0" fillId="0" borderId="23" xfId="0" applyBorder="1"/>
    <xf numFmtId="164" fontId="2" fillId="0" borderId="9" xfId="1" applyNumberFormat="1" applyFont="1" applyBorder="1"/>
    <xf numFmtId="164" fontId="2" fillId="0" borderId="10" xfId="1" applyNumberFormat="1" applyFont="1" applyBorder="1"/>
    <xf numFmtId="164" fontId="2" fillId="0" borderId="8" xfId="1" applyNumberFormat="1" applyFont="1" applyBorder="1"/>
    <xf numFmtId="9" fontId="0" fillId="0" borderId="6" xfId="2" applyFont="1" applyBorder="1" applyAlignment="1">
      <alignment horizontal="center"/>
    </xf>
    <xf numFmtId="0" fontId="0" fillId="2" borderId="9" xfId="2" applyNumberFormat="1" applyFont="1" applyFill="1" applyBorder="1" applyAlignment="1">
      <alignment horizontal="center"/>
    </xf>
    <xf numFmtId="164" fontId="0" fillId="2" borderId="9" xfId="1" applyNumberFormat="1" applyFont="1" applyFill="1" applyBorder="1"/>
    <xf numFmtId="164" fontId="0" fillId="2" borderId="12" xfId="1" applyNumberFormat="1" applyFont="1" applyFill="1" applyBorder="1"/>
    <xf numFmtId="164" fontId="2" fillId="0" borderId="24" xfId="1" applyNumberFormat="1" applyFont="1" applyBorder="1"/>
    <xf numFmtId="164" fontId="2" fillId="0" borderId="19" xfId="1" applyNumberFormat="1" applyFont="1" applyBorder="1"/>
    <xf numFmtId="164" fontId="2" fillId="0" borderId="20" xfId="1" applyNumberFormat="1" applyFont="1" applyBorder="1"/>
    <xf numFmtId="0" fontId="2" fillId="0" borderId="2" xfId="0" applyFont="1" applyBorder="1" applyAlignment="1">
      <alignment horizontal="center"/>
    </xf>
    <xf numFmtId="164" fontId="0" fillId="0" borderId="6" xfId="0" applyNumberFormat="1" applyBorder="1"/>
    <xf numFmtId="164" fontId="0" fillId="0" borderId="7" xfId="0" applyNumberFormat="1" applyBorder="1"/>
    <xf numFmtId="9" fontId="2" fillId="0" borderId="9" xfId="2" applyFont="1" applyBorder="1" applyAlignment="1">
      <alignment horizontal="center"/>
    </xf>
    <xf numFmtId="9" fontId="2" fillId="0" borderId="6" xfId="2" applyFont="1" applyBorder="1" applyAlignment="1">
      <alignment horizontal="center"/>
    </xf>
    <xf numFmtId="164" fontId="2" fillId="0" borderId="12" xfId="1" applyNumberFormat="1" applyFont="1" applyBorder="1"/>
    <xf numFmtId="0" fontId="0" fillId="3" borderId="8" xfId="0" applyFill="1" applyBorder="1"/>
    <xf numFmtId="164" fontId="0" fillId="0" borderId="0" xfId="1" applyNumberFormat="1" applyFont="1"/>
    <xf numFmtId="164" fontId="0" fillId="0" borderId="23" xfId="1" applyNumberFormat="1" applyFont="1" applyBorder="1"/>
    <xf numFmtId="0" fontId="2" fillId="0" borderId="2" xfId="0" applyFont="1" applyBorder="1"/>
    <xf numFmtId="164" fontId="2" fillId="0" borderId="3" xfId="1" applyNumberFormat="1" applyFont="1" applyBorder="1"/>
    <xf numFmtId="0" fontId="2" fillId="0" borderId="3" xfId="0" applyFont="1" applyBorder="1"/>
    <xf numFmtId="164" fontId="2" fillId="0" borderId="4" xfId="1" applyNumberFormat="1" applyFont="1" applyBorder="1"/>
    <xf numFmtId="164" fontId="0" fillId="0" borderId="25" xfId="1" applyNumberFormat="1" applyFont="1" applyBorder="1"/>
    <xf numFmtId="0" fontId="0" fillId="0" borderId="26" xfId="0" applyBorder="1"/>
    <xf numFmtId="164" fontId="0" fillId="0" borderId="27" xfId="1" applyNumberFormat="1" applyFont="1" applyBorder="1"/>
    <xf numFmtId="9" fontId="0" fillId="0" borderId="9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0" fillId="0" borderId="16" xfId="0" applyBorder="1"/>
    <xf numFmtId="0" fontId="0" fillId="0" borderId="18" xfId="0" applyBorder="1"/>
    <xf numFmtId="9" fontId="2" fillId="0" borderId="16" xfId="2" applyFont="1" applyBorder="1" applyAlignment="1">
      <alignment horizontal="center"/>
    </xf>
    <xf numFmtId="9" fontId="2" fillId="0" borderId="17" xfId="2" applyFont="1" applyBorder="1" applyAlignment="1">
      <alignment horizontal="center"/>
    </xf>
    <xf numFmtId="9" fontId="2" fillId="0" borderId="1" xfId="2" applyFont="1" applyBorder="1" applyAlignment="1">
      <alignment horizontal="center"/>
    </xf>
    <xf numFmtId="9" fontId="2" fillId="0" borderId="28" xfId="2" applyFont="1" applyBorder="1" applyAlignment="1">
      <alignment horizontal="center"/>
    </xf>
    <xf numFmtId="0" fontId="0" fillId="0" borderId="28" xfId="0" applyBorder="1" applyAlignment="1">
      <alignment horizontal="right"/>
    </xf>
    <xf numFmtId="164" fontId="2" fillId="0" borderId="13" xfId="1" applyNumberFormat="1" applyFont="1" applyBorder="1"/>
    <xf numFmtId="164" fontId="0" fillId="0" borderId="28" xfId="0" applyNumberFormat="1" applyBorder="1"/>
    <xf numFmtId="164" fontId="0" fillId="0" borderId="28" xfId="1" applyNumberFormat="1" applyFont="1" applyBorder="1"/>
    <xf numFmtId="164" fontId="0" fillId="0" borderId="1" xfId="0" applyNumberFormat="1" applyBorder="1"/>
    <xf numFmtId="164" fontId="3" fillId="0" borderId="12" xfId="0" applyNumberFormat="1" applyFont="1" applyBorder="1"/>
    <xf numFmtId="164" fontId="3" fillId="0" borderId="6" xfId="0" applyNumberFormat="1" applyFont="1" applyBorder="1"/>
    <xf numFmtId="0" fontId="0" fillId="4" borderId="8" xfId="0" applyFill="1" applyBorder="1" applyAlignment="1">
      <alignment horizontal="center"/>
    </xf>
    <xf numFmtId="0" fontId="0" fillId="4" borderId="8" xfId="0" applyFill="1" applyBorder="1" applyAlignment="1">
      <alignment horizontal="right"/>
    </xf>
    <xf numFmtId="9" fontId="0" fillId="5" borderId="9" xfId="2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7B5A6-6C7F-4BCE-B733-800164C20C5F}">
  <dimension ref="A1:C14"/>
  <sheetViews>
    <sheetView rightToLeft="1" workbookViewId="0">
      <selection activeCell="B7" sqref="B7"/>
    </sheetView>
  </sheetViews>
  <sheetFormatPr defaultRowHeight="14.25" x14ac:dyDescent="0.2"/>
  <cols>
    <col min="1" max="1" width="26.875" bestFit="1" customWidth="1"/>
    <col min="2" max="2" width="10.375" bestFit="1" customWidth="1"/>
    <col min="3" max="3" width="11.125" style="1" bestFit="1" customWidth="1"/>
  </cols>
  <sheetData>
    <row r="1" spans="1:3" ht="15" thickTop="1" x14ac:dyDescent="0.2">
      <c r="A1" s="108" t="s">
        <v>98</v>
      </c>
      <c r="B1" s="109"/>
      <c r="C1" s="110"/>
    </row>
    <row r="2" spans="1:3" x14ac:dyDescent="0.2">
      <c r="A2" s="29" t="s">
        <v>34</v>
      </c>
      <c r="B2" s="16" t="s">
        <v>100</v>
      </c>
      <c r="C2" s="17"/>
    </row>
    <row r="3" spans="1:3" x14ac:dyDescent="0.2">
      <c r="A3" s="29" t="s">
        <v>35</v>
      </c>
      <c r="B3" s="107">
        <v>0.05</v>
      </c>
      <c r="C3" s="17" t="s">
        <v>91</v>
      </c>
    </row>
    <row r="4" spans="1:3" x14ac:dyDescent="0.2">
      <c r="A4" s="29" t="s">
        <v>87</v>
      </c>
      <c r="B4" s="107">
        <v>0.2</v>
      </c>
      <c r="C4" s="17" t="s">
        <v>91</v>
      </c>
    </row>
    <row r="5" spans="1:3" x14ac:dyDescent="0.2">
      <c r="A5" s="29" t="s">
        <v>36</v>
      </c>
      <c r="B5" s="66">
        <v>4</v>
      </c>
      <c r="C5" s="17" t="s">
        <v>37</v>
      </c>
    </row>
    <row r="6" spans="1:3" x14ac:dyDescent="0.2">
      <c r="A6" s="29" t="s">
        <v>39</v>
      </c>
      <c r="B6" s="107">
        <v>0.25</v>
      </c>
      <c r="C6" s="17" t="s">
        <v>92</v>
      </c>
    </row>
    <row r="7" spans="1:3" x14ac:dyDescent="0.2">
      <c r="A7" s="29" t="s">
        <v>93</v>
      </c>
      <c r="B7" s="107">
        <v>0.2</v>
      </c>
      <c r="C7" s="17" t="s">
        <v>91</v>
      </c>
    </row>
    <row r="8" spans="1:3" x14ac:dyDescent="0.2">
      <c r="A8" s="29" t="s">
        <v>25</v>
      </c>
      <c r="B8" s="14">
        <v>1417</v>
      </c>
      <c r="C8" s="17" t="s">
        <v>94</v>
      </c>
    </row>
    <row r="9" spans="1:3" x14ac:dyDescent="0.2">
      <c r="A9" s="29" t="s">
        <v>26</v>
      </c>
      <c r="B9" s="14">
        <v>0</v>
      </c>
      <c r="C9" s="17" t="s">
        <v>94</v>
      </c>
    </row>
    <row r="10" spans="1:3" x14ac:dyDescent="0.2">
      <c r="A10" s="29" t="s">
        <v>27</v>
      </c>
      <c r="B10" s="67">
        <v>0</v>
      </c>
      <c r="C10" s="17" t="s">
        <v>94</v>
      </c>
    </row>
    <row r="11" spans="1:3" x14ac:dyDescent="0.2">
      <c r="A11" s="29" t="s">
        <v>28</v>
      </c>
      <c r="B11" s="67">
        <v>532</v>
      </c>
      <c r="C11" s="17" t="s">
        <v>94</v>
      </c>
    </row>
    <row r="12" spans="1:3" x14ac:dyDescent="0.2">
      <c r="A12" s="29" t="s">
        <v>30</v>
      </c>
      <c r="B12" s="67">
        <v>133</v>
      </c>
      <c r="C12" s="17" t="s">
        <v>94</v>
      </c>
    </row>
    <row r="13" spans="1:3" ht="15" thickBot="1" x14ac:dyDescent="0.25">
      <c r="A13" s="32" t="s">
        <v>38</v>
      </c>
      <c r="B13" s="68">
        <v>25000</v>
      </c>
      <c r="C13" s="22" t="s">
        <v>95</v>
      </c>
    </row>
    <row r="14" spans="1:3" ht="15" thickTop="1" x14ac:dyDescent="0.2"/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6FA5B-522A-49D7-AECA-884264313027}">
  <dimension ref="A1:U65"/>
  <sheetViews>
    <sheetView rightToLeft="1" workbookViewId="0">
      <selection activeCell="A9" sqref="A9"/>
    </sheetView>
  </sheetViews>
  <sheetFormatPr defaultColWidth="8.875" defaultRowHeight="14.25" outlineLevelRow="1" outlineLevelCol="1" x14ac:dyDescent="0.2"/>
  <cols>
    <col min="1" max="1" width="18.125" style="1" bestFit="1" customWidth="1"/>
    <col min="2" max="6" width="7.875" style="1" bestFit="1" customWidth="1" outlineLevel="1"/>
    <col min="7" max="7" width="8.5" style="1" bestFit="1" customWidth="1" outlineLevel="1"/>
    <col min="8" max="8" width="7.875" style="1" bestFit="1" customWidth="1" outlineLevel="1"/>
    <col min="9" max="13" width="8.625" style="1" bestFit="1" customWidth="1" outlineLevel="1"/>
    <col min="14" max="18" width="11.25" style="1" customWidth="1"/>
    <col min="19" max="19" width="10.25" style="1" bestFit="1" customWidth="1"/>
    <col min="20" max="20" width="11.75" style="1" bestFit="1" customWidth="1"/>
    <col min="21" max="16384" width="8.875" style="1"/>
  </cols>
  <sheetData>
    <row r="1" spans="1:21" ht="15.75" thickTop="1" x14ac:dyDescent="0.25">
      <c r="A1" s="37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9" t="s">
        <v>1</v>
      </c>
      <c r="O1" s="9" t="s">
        <v>2</v>
      </c>
      <c r="P1" s="9" t="s">
        <v>3</v>
      </c>
      <c r="Q1" s="9" t="s">
        <v>4</v>
      </c>
      <c r="R1" s="9" t="s">
        <v>5</v>
      </c>
      <c r="S1" s="10" t="s">
        <v>14</v>
      </c>
    </row>
    <row r="2" spans="1:21" ht="15" outlineLevel="1" x14ac:dyDescent="0.25">
      <c r="A2" s="105" t="s">
        <v>108</v>
      </c>
      <c r="B2" s="12">
        <f>B5*B4</f>
        <v>120</v>
      </c>
      <c r="C2" s="12">
        <f t="shared" ref="C2:M2" si="0">C5*C4</f>
        <v>150</v>
      </c>
      <c r="D2" s="12">
        <f t="shared" si="0"/>
        <v>192</v>
      </c>
      <c r="E2" s="12">
        <f t="shared" si="0"/>
        <v>240</v>
      </c>
      <c r="F2" s="12">
        <f t="shared" si="0"/>
        <v>300</v>
      </c>
      <c r="G2" s="12">
        <f t="shared" si="0"/>
        <v>378</v>
      </c>
      <c r="H2" s="12">
        <f t="shared" si="0"/>
        <v>462</v>
      </c>
      <c r="I2" s="12">
        <f t="shared" si="0"/>
        <v>558</v>
      </c>
      <c r="J2" s="12">
        <f t="shared" si="0"/>
        <v>672</v>
      </c>
      <c r="K2" s="12">
        <f t="shared" si="0"/>
        <v>840</v>
      </c>
      <c r="L2" s="12">
        <f t="shared" si="0"/>
        <v>996</v>
      </c>
      <c r="M2" s="12">
        <f t="shared" si="0"/>
        <v>1200</v>
      </c>
      <c r="N2" s="12">
        <f>SUM(B2:M2)</f>
        <v>6108</v>
      </c>
      <c r="O2" s="12">
        <f>O5*O4</f>
        <v>18144.000000000004</v>
      </c>
      <c r="P2" s="12">
        <f t="shared" ref="P2:R2" si="1">P5*P4</f>
        <v>22861.440000000002</v>
      </c>
      <c r="Q2" s="12">
        <f t="shared" si="1"/>
        <v>28805.414400000005</v>
      </c>
      <c r="R2" s="12">
        <f t="shared" si="1"/>
        <v>36294.822144000005</v>
      </c>
      <c r="S2" s="13">
        <f>SUM(N2:R2)</f>
        <v>112213.67654400002</v>
      </c>
      <c r="U2" s="4"/>
    </row>
    <row r="3" spans="1:21" ht="15" outlineLevel="1" x14ac:dyDescent="0.25">
      <c r="A3" s="105" t="s">
        <v>109</v>
      </c>
      <c r="B3" s="12">
        <f>B4*B6</f>
        <v>0</v>
      </c>
      <c r="C3" s="12">
        <f t="shared" ref="C3:M3" si="2">C4*C6</f>
        <v>0</v>
      </c>
      <c r="D3" s="12">
        <f t="shared" si="2"/>
        <v>0</v>
      </c>
      <c r="E3" s="12">
        <f t="shared" si="2"/>
        <v>0</v>
      </c>
      <c r="F3" s="12">
        <f t="shared" si="2"/>
        <v>0</v>
      </c>
      <c r="G3" s="12">
        <f t="shared" si="2"/>
        <v>0</v>
      </c>
      <c r="H3" s="12">
        <f t="shared" si="2"/>
        <v>0</v>
      </c>
      <c r="I3" s="12">
        <f t="shared" si="2"/>
        <v>0</v>
      </c>
      <c r="J3" s="12">
        <f t="shared" si="2"/>
        <v>0</v>
      </c>
      <c r="K3" s="12">
        <f t="shared" si="2"/>
        <v>0</v>
      </c>
      <c r="L3" s="12">
        <f t="shared" si="2"/>
        <v>0</v>
      </c>
      <c r="M3" s="12">
        <f t="shared" si="2"/>
        <v>0</v>
      </c>
      <c r="N3" s="12">
        <f>SUM(B3:M3)</f>
        <v>0</v>
      </c>
      <c r="O3" s="12">
        <f>O6*O4</f>
        <v>0</v>
      </c>
      <c r="P3" s="12">
        <f t="shared" ref="P3:R3" si="3">P6*P4</f>
        <v>0</v>
      </c>
      <c r="Q3" s="12">
        <f t="shared" si="3"/>
        <v>0</v>
      </c>
      <c r="R3" s="12">
        <f t="shared" si="3"/>
        <v>0</v>
      </c>
      <c r="S3" s="13">
        <f>SUM(N3:R3)</f>
        <v>0</v>
      </c>
      <c r="U3" s="4"/>
    </row>
    <row r="4" spans="1:21" outlineLevel="1" x14ac:dyDescent="0.2">
      <c r="A4" s="11" t="s">
        <v>7</v>
      </c>
      <c r="B4" s="14">
        <v>20</v>
      </c>
      <c r="C4" s="14">
        <v>25</v>
      </c>
      <c r="D4" s="14">
        <v>32</v>
      </c>
      <c r="E4" s="14">
        <v>40</v>
      </c>
      <c r="F4" s="14">
        <v>50</v>
      </c>
      <c r="G4" s="14">
        <v>63</v>
      </c>
      <c r="H4" s="14">
        <v>77</v>
      </c>
      <c r="I4" s="14">
        <v>93</v>
      </c>
      <c r="J4" s="14">
        <v>112</v>
      </c>
      <c r="K4" s="14">
        <v>140</v>
      </c>
      <c r="L4" s="14">
        <v>166</v>
      </c>
      <c r="M4" s="14">
        <v>200</v>
      </c>
      <c r="N4" s="15">
        <f>SUM(B4:M4)</f>
        <v>1018</v>
      </c>
      <c r="O4" s="15">
        <f>M4*12*(الإفتراضات!$B$7+1)</f>
        <v>2880</v>
      </c>
      <c r="P4" s="15">
        <f>O4*(الإفتراضات!$B$7+1)</f>
        <v>3456</v>
      </c>
      <c r="Q4" s="15">
        <f>P4*(الإفتراضات!$B$7+1)</f>
        <v>4147.2</v>
      </c>
      <c r="R4" s="15">
        <f>Q4*(الإفتراضات!$B$7+1)</f>
        <v>4976.6399999999994</v>
      </c>
      <c r="S4" s="13">
        <f>S2-S3</f>
        <v>112213.67654400002</v>
      </c>
      <c r="U4" s="4"/>
    </row>
    <row r="5" spans="1:21" outlineLevel="1" x14ac:dyDescent="0.2">
      <c r="A5" s="11" t="s">
        <v>15</v>
      </c>
      <c r="B5" s="16">
        <v>6</v>
      </c>
      <c r="C5" s="16">
        <v>6</v>
      </c>
      <c r="D5" s="16">
        <v>6</v>
      </c>
      <c r="E5" s="16">
        <v>6</v>
      </c>
      <c r="F5" s="16">
        <v>6</v>
      </c>
      <c r="G5" s="16">
        <v>6</v>
      </c>
      <c r="H5" s="16">
        <v>6</v>
      </c>
      <c r="I5" s="16">
        <v>6</v>
      </c>
      <c r="J5" s="16">
        <v>6</v>
      </c>
      <c r="K5" s="16">
        <v>6</v>
      </c>
      <c r="L5" s="16">
        <v>6</v>
      </c>
      <c r="M5" s="16">
        <v>6</v>
      </c>
      <c r="N5" s="15"/>
      <c r="O5" s="15">
        <f>M5*(1+الإفتراضات!$B$3)</f>
        <v>6.3000000000000007</v>
      </c>
      <c r="P5" s="15">
        <f>O5*(1+الإفتراضات!$B$3)</f>
        <v>6.6150000000000011</v>
      </c>
      <c r="Q5" s="15">
        <f>P5*(1+الإفتراضات!$B$3)</f>
        <v>6.9457500000000012</v>
      </c>
      <c r="R5" s="15">
        <f>Q5*(1+الإفتراضات!$B$3)</f>
        <v>7.2930375000000014</v>
      </c>
      <c r="S5" s="17"/>
    </row>
    <row r="6" spans="1:21" outlineLevel="1" x14ac:dyDescent="0.2">
      <c r="A6" s="11" t="s">
        <v>16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8"/>
      <c r="O6" s="15">
        <f>M6*(1+الإفتراضات!$B$3)</f>
        <v>0</v>
      </c>
      <c r="P6" s="15">
        <f>O6*(1+الإفتراضات!$B$3)</f>
        <v>0</v>
      </c>
      <c r="Q6" s="15">
        <f>P6*(1+الإفتراضات!$B$3)</f>
        <v>0</v>
      </c>
      <c r="R6" s="15">
        <f>Q6*(1+الإفتراضات!$B$3)</f>
        <v>0</v>
      </c>
      <c r="S6" s="17"/>
    </row>
    <row r="7" spans="1:21" outlineLevel="1" x14ac:dyDescent="0.2">
      <c r="A7" s="11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7"/>
    </row>
    <row r="8" spans="1:21" ht="15" outlineLevel="1" x14ac:dyDescent="0.25">
      <c r="A8" s="11" t="s">
        <v>110</v>
      </c>
      <c r="B8" s="12">
        <f>B11*B10</f>
        <v>90</v>
      </c>
      <c r="C8" s="12">
        <f t="shared" ref="C8:M8" si="4">C11*C10</f>
        <v>117</v>
      </c>
      <c r="D8" s="12">
        <f t="shared" si="4"/>
        <v>153</v>
      </c>
      <c r="E8" s="12">
        <f t="shared" si="4"/>
        <v>198</v>
      </c>
      <c r="F8" s="12">
        <f t="shared" si="4"/>
        <v>252</v>
      </c>
      <c r="G8" s="12">
        <f t="shared" si="4"/>
        <v>333</v>
      </c>
      <c r="H8" s="12">
        <f t="shared" si="4"/>
        <v>405</v>
      </c>
      <c r="I8" s="12">
        <f t="shared" si="4"/>
        <v>486</v>
      </c>
      <c r="J8" s="12">
        <f t="shared" si="4"/>
        <v>576</v>
      </c>
      <c r="K8" s="12">
        <f t="shared" si="4"/>
        <v>675</v>
      </c>
      <c r="L8" s="12">
        <f t="shared" si="4"/>
        <v>774</v>
      </c>
      <c r="M8" s="12">
        <f t="shared" si="4"/>
        <v>900</v>
      </c>
      <c r="N8" s="12">
        <f>SUM(B8:M8)</f>
        <v>4959</v>
      </c>
      <c r="O8" s="12">
        <f>O11*O10</f>
        <v>13608.000000000002</v>
      </c>
      <c r="P8" s="12">
        <f t="shared" ref="P8:R8" si="5">P11*P10</f>
        <v>17146.080000000002</v>
      </c>
      <c r="Q8" s="12">
        <f t="shared" si="5"/>
        <v>21604.060800000003</v>
      </c>
      <c r="R8" s="12">
        <f t="shared" si="5"/>
        <v>27221.116608000004</v>
      </c>
      <c r="S8" s="13">
        <f>SUM(N8:R8)</f>
        <v>84538.257408000005</v>
      </c>
    </row>
    <row r="9" spans="1:21" ht="15" outlineLevel="1" x14ac:dyDescent="0.25">
      <c r="A9" s="11" t="s">
        <v>111</v>
      </c>
      <c r="B9" s="12">
        <f>B10*B12</f>
        <v>30</v>
      </c>
      <c r="C9" s="12">
        <f t="shared" ref="C9" si="6">C10*C12</f>
        <v>39</v>
      </c>
      <c r="D9" s="12">
        <f t="shared" ref="D9" si="7">D10*D12</f>
        <v>51</v>
      </c>
      <c r="E9" s="12">
        <f t="shared" ref="E9" si="8">E10*E12</f>
        <v>66</v>
      </c>
      <c r="F9" s="12">
        <f t="shared" ref="F9" si="9">F10*F12</f>
        <v>84</v>
      </c>
      <c r="G9" s="12">
        <f t="shared" ref="G9" si="10">G10*G12</f>
        <v>111</v>
      </c>
      <c r="H9" s="12">
        <f t="shared" ref="H9" si="11">H10*H12</f>
        <v>135</v>
      </c>
      <c r="I9" s="12">
        <f t="shared" ref="I9" si="12">I10*I12</f>
        <v>162</v>
      </c>
      <c r="J9" s="12">
        <f t="shared" ref="J9" si="13">J10*J12</f>
        <v>192</v>
      </c>
      <c r="K9" s="12">
        <f t="shared" ref="K9" si="14">K10*K12</f>
        <v>225</v>
      </c>
      <c r="L9" s="12">
        <f t="shared" ref="L9" si="15">L10*L12</f>
        <v>258</v>
      </c>
      <c r="M9" s="12">
        <f t="shared" ref="M9" si="16">M10*M12</f>
        <v>300</v>
      </c>
      <c r="N9" s="12">
        <f>SUM(B9:M9)</f>
        <v>1653</v>
      </c>
      <c r="O9" s="12">
        <f>O12*O10</f>
        <v>4536.0000000000009</v>
      </c>
      <c r="P9" s="12">
        <f t="shared" ref="P9" si="17">P12*P10</f>
        <v>5715.3600000000006</v>
      </c>
      <c r="Q9" s="12">
        <f t="shared" ref="Q9" si="18">Q12*Q10</f>
        <v>7201.3536000000013</v>
      </c>
      <c r="R9" s="12">
        <f t="shared" ref="R9" si="19">R12*R10</f>
        <v>9073.7055360000013</v>
      </c>
      <c r="S9" s="13">
        <f>SUM(N9:R9)</f>
        <v>28179.419136000004</v>
      </c>
    </row>
    <row r="10" spans="1:21" outlineLevel="1" x14ac:dyDescent="0.2">
      <c r="A10" s="11" t="s">
        <v>7</v>
      </c>
      <c r="B10" s="14">
        <v>10</v>
      </c>
      <c r="C10" s="14">
        <v>13</v>
      </c>
      <c r="D10" s="14">
        <v>17</v>
      </c>
      <c r="E10" s="14">
        <v>22</v>
      </c>
      <c r="F10" s="14">
        <v>28</v>
      </c>
      <c r="G10" s="14">
        <v>37</v>
      </c>
      <c r="H10" s="14">
        <v>45</v>
      </c>
      <c r="I10" s="14">
        <v>54</v>
      </c>
      <c r="J10" s="14">
        <v>64</v>
      </c>
      <c r="K10" s="14">
        <v>75</v>
      </c>
      <c r="L10" s="14">
        <v>86</v>
      </c>
      <c r="M10" s="14">
        <v>100</v>
      </c>
      <c r="N10" s="15">
        <f>SUM(B10:M10)</f>
        <v>551</v>
      </c>
      <c r="O10" s="15">
        <f>M10*12*(الإفتراضات!$B$7+1)</f>
        <v>1440</v>
      </c>
      <c r="P10" s="15">
        <f>O10*(الإفتراضات!$B$7+1)</f>
        <v>1728</v>
      </c>
      <c r="Q10" s="15">
        <f>P10*(الإفتراضات!$B$7+1)</f>
        <v>2073.6</v>
      </c>
      <c r="R10" s="15">
        <f>Q10*(الإفتراضات!$B$7+1)</f>
        <v>2488.3199999999997</v>
      </c>
      <c r="S10" s="17"/>
    </row>
    <row r="11" spans="1:21" outlineLevel="1" x14ac:dyDescent="0.2">
      <c r="A11" s="11" t="s">
        <v>15</v>
      </c>
      <c r="B11" s="16">
        <v>9</v>
      </c>
      <c r="C11" s="16">
        <v>9</v>
      </c>
      <c r="D11" s="16">
        <v>9</v>
      </c>
      <c r="E11" s="16">
        <v>9</v>
      </c>
      <c r="F11" s="16">
        <v>9</v>
      </c>
      <c r="G11" s="16">
        <v>9</v>
      </c>
      <c r="H11" s="16">
        <v>9</v>
      </c>
      <c r="I11" s="16">
        <v>9</v>
      </c>
      <c r="J11" s="16">
        <v>9</v>
      </c>
      <c r="K11" s="16">
        <v>9</v>
      </c>
      <c r="L11" s="16">
        <v>9</v>
      </c>
      <c r="M11" s="16">
        <v>9</v>
      </c>
      <c r="N11" s="15"/>
      <c r="O11" s="15">
        <f>M11*(1+الإفتراضات!$B$3)</f>
        <v>9.4500000000000011</v>
      </c>
      <c r="P11" s="15">
        <f>O11*(1+الإفتراضات!$B$3)</f>
        <v>9.9225000000000012</v>
      </c>
      <c r="Q11" s="15">
        <f>P11*(1+الإفتراضات!$B$3)</f>
        <v>10.418625000000002</v>
      </c>
      <c r="R11" s="15">
        <f>Q11*(1+الإفتراضات!$B$3)</f>
        <v>10.939556250000003</v>
      </c>
      <c r="S11" s="17"/>
    </row>
    <row r="12" spans="1:21" outlineLevel="1" x14ac:dyDescent="0.2">
      <c r="A12" s="11" t="s">
        <v>16</v>
      </c>
      <c r="B12" s="16">
        <v>3</v>
      </c>
      <c r="C12" s="16">
        <v>3</v>
      </c>
      <c r="D12" s="16">
        <v>3</v>
      </c>
      <c r="E12" s="16">
        <v>3</v>
      </c>
      <c r="F12" s="16">
        <v>3</v>
      </c>
      <c r="G12" s="16">
        <v>3</v>
      </c>
      <c r="H12" s="16">
        <v>3</v>
      </c>
      <c r="I12" s="16">
        <v>3</v>
      </c>
      <c r="J12" s="16">
        <v>3</v>
      </c>
      <c r="K12" s="16">
        <v>3</v>
      </c>
      <c r="L12" s="16">
        <v>3</v>
      </c>
      <c r="M12" s="16">
        <v>3</v>
      </c>
      <c r="N12" s="18"/>
      <c r="O12" s="15">
        <f>M12*(1+الإفتراضات!$B$3)</f>
        <v>3.1500000000000004</v>
      </c>
      <c r="P12" s="15">
        <f>O12*(1+الإفتراضات!$B$3)</f>
        <v>3.3075000000000006</v>
      </c>
      <c r="Q12" s="15">
        <f>P12*(1+الإفتراضات!$B$3)</f>
        <v>3.4728750000000006</v>
      </c>
      <c r="R12" s="15">
        <f>Q12*(1+الإفتراضات!$B$3)</f>
        <v>3.6465187500000007</v>
      </c>
      <c r="S12" s="17"/>
    </row>
    <row r="13" spans="1:21" ht="15" outlineLevel="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</row>
    <row r="14" spans="1:21" ht="15" outlineLevel="1" x14ac:dyDescent="0.25">
      <c r="A14" s="11" t="s">
        <v>102</v>
      </c>
      <c r="B14" s="12">
        <f>B17*B16</f>
        <v>180</v>
      </c>
      <c r="C14" s="12">
        <f t="shared" ref="C14:M14" si="20">C17*C16</f>
        <v>240</v>
      </c>
      <c r="D14" s="12">
        <f t="shared" si="20"/>
        <v>318</v>
      </c>
      <c r="E14" s="12">
        <f t="shared" si="20"/>
        <v>408</v>
      </c>
      <c r="F14" s="12">
        <f t="shared" si="20"/>
        <v>504</v>
      </c>
      <c r="G14" s="12">
        <f t="shared" si="20"/>
        <v>612</v>
      </c>
      <c r="H14" s="12">
        <f t="shared" si="20"/>
        <v>750</v>
      </c>
      <c r="I14" s="12">
        <f t="shared" si="20"/>
        <v>900</v>
      </c>
      <c r="J14" s="12">
        <f t="shared" si="20"/>
        <v>1080</v>
      </c>
      <c r="K14" s="12">
        <f t="shared" si="20"/>
        <v>1320</v>
      </c>
      <c r="L14" s="12">
        <f t="shared" si="20"/>
        <v>1680</v>
      </c>
      <c r="M14" s="12">
        <f t="shared" si="20"/>
        <v>2160</v>
      </c>
      <c r="N14" s="12">
        <f>SUM(B14:M14)</f>
        <v>10152</v>
      </c>
      <c r="O14" s="12">
        <f>O17*O16</f>
        <v>32659.200000000004</v>
      </c>
      <c r="P14" s="12">
        <f t="shared" ref="P14:R14" si="21">P17*P16</f>
        <v>41150.592000000011</v>
      </c>
      <c r="Q14" s="12">
        <f t="shared" si="21"/>
        <v>51849.745920000008</v>
      </c>
      <c r="R14" s="12">
        <f t="shared" si="21"/>
        <v>65330.679859200005</v>
      </c>
      <c r="S14" s="13">
        <f>SUM(N14:R14)</f>
        <v>201142.21777920003</v>
      </c>
    </row>
    <row r="15" spans="1:21" ht="15" outlineLevel="1" x14ac:dyDescent="0.25">
      <c r="A15" s="11" t="s">
        <v>103</v>
      </c>
      <c r="B15" s="12">
        <f>B16*B18</f>
        <v>0</v>
      </c>
      <c r="C15" s="12">
        <f t="shared" ref="C15" si="22">C16*C18</f>
        <v>0</v>
      </c>
      <c r="D15" s="12">
        <f t="shared" ref="D15" si="23">D16*D18</f>
        <v>0</v>
      </c>
      <c r="E15" s="12">
        <f t="shared" ref="E15" si="24">E16*E18</f>
        <v>0</v>
      </c>
      <c r="F15" s="12">
        <f t="shared" ref="F15" si="25">F16*F18</f>
        <v>0</v>
      </c>
      <c r="G15" s="12">
        <f t="shared" ref="G15" si="26">G16*G18</f>
        <v>0</v>
      </c>
      <c r="H15" s="12">
        <f t="shared" ref="H15" si="27">H16*H18</f>
        <v>0</v>
      </c>
      <c r="I15" s="12">
        <f t="shared" ref="I15" si="28">I16*I18</f>
        <v>0</v>
      </c>
      <c r="J15" s="12">
        <f t="shared" ref="J15" si="29">J16*J18</f>
        <v>0</v>
      </c>
      <c r="K15" s="12">
        <f t="shared" ref="K15" si="30">K16*K18</f>
        <v>0</v>
      </c>
      <c r="L15" s="12">
        <f t="shared" ref="L15" si="31">L16*L18</f>
        <v>0</v>
      </c>
      <c r="M15" s="12">
        <f t="shared" ref="M15" si="32">M16*M18</f>
        <v>0</v>
      </c>
      <c r="N15" s="12">
        <f>SUM(B15:M15)</f>
        <v>0</v>
      </c>
      <c r="O15" s="12">
        <f>O18*O16</f>
        <v>0</v>
      </c>
      <c r="P15" s="12">
        <f t="shared" ref="P15:R15" si="33">P18*P16</f>
        <v>0</v>
      </c>
      <c r="Q15" s="12">
        <f t="shared" si="33"/>
        <v>0</v>
      </c>
      <c r="R15" s="12">
        <f t="shared" si="33"/>
        <v>0</v>
      </c>
      <c r="S15" s="13">
        <f>SUM(N15:R15)</f>
        <v>0</v>
      </c>
    </row>
    <row r="16" spans="1:21" outlineLevel="1" x14ac:dyDescent="0.2">
      <c r="A16" s="11" t="s">
        <v>7</v>
      </c>
      <c r="B16" s="14">
        <v>30</v>
      </c>
      <c r="C16" s="14">
        <v>40</v>
      </c>
      <c r="D16" s="14">
        <v>53</v>
      </c>
      <c r="E16" s="14">
        <v>68</v>
      </c>
      <c r="F16" s="14">
        <v>84</v>
      </c>
      <c r="G16" s="14">
        <v>102</v>
      </c>
      <c r="H16" s="14">
        <v>125</v>
      </c>
      <c r="I16" s="14">
        <v>150</v>
      </c>
      <c r="J16" s="14">
        <v>180</v>
      </c>
      <c r="K16" s="14">
        <v>220</v>
      </c>
      <c r="L16" s="14">
        <v>280</v>
      </c>
      <c r="M16" s="14">
        <v>360</v>
      </c>
      <c r="N16" s="15">
        <f>SUM(B16:M16)</f>
        <v>1692</v>
      </c>
      <c r="O16" s="15">
        <f>M16*12*(الإفتراضات!$B$7+1)</f>
        <v>5184</v>
      </c>
      <c r="P16" s="15">
        <f>O16*(الإفتراضات!$B$7+1)</f>
        <v>6220.8</v>
      </c>
      <c r="Q16" s="15">
        <f>P16*(الإفتراضات!$B$7+1)</f>
        <v>7464.96</v>
      </c>
      <c r="R16" s="15">
        <f>Q16*(الإفتراضات!$B$7+1)</f>
        <v>8957.9519999999993</v>
      </c>
      <c r="S16" s="17"/>
    </row>
    <row r="17" spans="1:19" outlineLevel="1" x14ac:dyDescent="0.2">
      <c r="A17" s="11" t="s">
        <v>15</v>
      </c>
      <c r="B17" s="16">
        <v>6</v>
      </c>
      <c r="C17" s="16">
        <v>6</v>
      </c>
      <c r="D17" s="16">
        <v>6</v>
      </c>
      <c r="E17" s="16">
        <v>6</v>
      </c>
      <c r="F17" s="16">
        <v>6</v>
      </c>
      <c r="G17" s="16">
        <v>6</v>
      </c>
      <c r="H17" s="16">
        <v>6</v>
      </c>
      <c r="I17" s="16">
        <v>6</v>
      </c>
      <c r="J17" s="16">
        <v>6</v>
      </c>
      <c r="K17" s="16">
        <v>6</v>
      </c>
      <c r="L17" s="16">
        <v>6</v>
      </c>
      <c r="M17" s="16">
        <v>6</v>
      </c>
      <c r="N17" s="15"/>
      <c r="O17" s="15">
        <f>M17*(1+الإفتراضات!$B$3)</f>
        <v>6.3000000000000007</v>
      </c>
      <c r="P17" s="15">
        <f>O17*(1+الإفتراضات!$B$3)</f>
        <v>6.6150000000000011</v>
      </c>
      <c r="Q17" s="15">
        <f>P17*(1+الإفتراضات!$B$3)</f>
        <v>6.9457500000000012</v>
      </c>
      <c r="R17" s="15">
        <f>Q17*(1+الإفتراضات!$B$3)</f>
        <v>7.2930375000000014</v>
      </c>
      <c r="S17" s="17"/>
    </row>
    <row r="18" spans="1:19" outlineLevel="1" x14ac:dyDescent="0.2">
      <c r="A18" s="11" t="s">
        <v>16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8"/>
      <c r="O18" s="15">
        <f>M18*(1+الإفتراضات!$B$3)</f>
        <v>0</v>
      </c>
      <c r="P18" s="15">
        <f>O18*(1+الإفتراضات!$B$3)</f>
        <v>0</v>
      </c>
      <c r="Q18" s="15">
        <f>P18*(1+الإفتراضات!$B$3)</f>
        <v>0</v>
      </c>
      <c r="R18" s="15">
        <f>Q18*(1+الإفتراضات!$B$3)</f>
        <v>0</v>
      </c>
      <c r="S18" s="17"/>
    </row>
    <row r="19" spans="1:19" outlineLevel="1" x14ac:dyDescent="0.2">
      <c r="A19" s="11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7"/>
    </row>
    <row r="20" spans="1:19" ht="15" outlineLevel="1" x14ac:dyDescent="0.25">
      <c r="A20" s="11" t="s">
        <v>104</v>
      </c>
      <c r="B20" s="12">
        <f>B23*B22</f>
        <v>0</v>
      </c>
      <c r="C20" s="12">
        <f t="shared" ref="C20:M20" si="34">C23*C22</f>
        <v>0</v>
      </c>
      <c r="D20" s="12">
        <f t="shared" si="34"/>
        <v>0</v>
      </c>
      <c r="E20" s="12">
        <f t="shared" si="34"/>
        <v>0</v>
      </c>
      <c r="F20" s="12">
        <f t="shared" si="34"/>
        <v>0</v>
      </c>
      <c r="G20" s="12">
        <f t="shared" si="34"/>
        <v>0</v>
      </c>
      <c r="H20" s="12">
        <f t="shared" si="34"/>
        <v>0</v>
      </c>
      <c r="I20" s="12">
        <f t="shared" si="34"/>
        <v>0</v>
      </c>
      <c r="J20" s="12">
        <f t="shared" si="34"/>
        <v>600</v>
      </c>
      <c r="K20" s="12">
        <f t="shared" si="34"/>
        <v>1200</v>
      </c>
      <c r="L20" s="12">
        <f t="shared" si="34"/>
        <v>1800</v>
      </c>
      <c r="M20" s="12">
        <f t="shared" si="34"/>
        <v>2400</v>
      </c>
      <c r="N20" s="12">
        <f>SUM(B20:M20)</f>
        <v>6000</v>
      </c>
      <c r="O20" s="12">
        <f>O23*O22</f>
        <v>36288</v>
      </c>
      <c r="P20" s="12">
        <f t="shared" ref="P20:R20" si="35">P23*P22</f>
        <v>45722.87999999999</v>
      </c>
      <c r="Q20" s="12">
        <f t="shared" si="35"/>
        <v>57610.828799999996</v>
      </c>
      <c r="R20" s="12">
        <f t="shared" si="35"/>
        <v>72589.644287999996</v>
      </c>
      <c r="S20" s="13">
        <f>SUM(N20:R20)</f>
        <v>218211.35308799997</v>
      </c>
    </row>
    <row r="21" spans="1:19" ht="15" outlineLevel="1" x14ac:dyDescent="0.25">
      <c r="A21" s="11" t="s">
        <v>105</v>
      </c>
      <c r="B21" s="12">
        <f>B22*B24</f>
        <v>0</v>
      </c>
      <c r="C21" s="12">
        <f t="shared" ref="C21" si="36">C22*C24</f>
        <v>0</v>
      </c>
      <c r="D21" s="12">
        <f t="shared" ref="D21" si="37">D22*D24</f>
        <v>0</v>
      </c>
      <c r="E21" s="12">
        <f t="shared" ref="E21" si="38">E22*E24</f>
        <v>0</v>
      </c>
      <c r="F21" s="12">
        <f t="shared" ref="F21" si="39">F22*F24</f>
        <v>0</v>
      </c>
      <c r="G21" s="12">
        <f t="shared" ref="G21" si="40">G22*G24</f>
        <v>0</v>
      </c>
      <c r="H21" s="12">
        <f t="shared" ref="H21" si="41">H22*H24</f>
        <v>0</v>
      </c>
      <c r="I21" s="12">
        <f t="shared" ref="I21" si="42">I22*I24</f>
        <v>0</v>
      </c>
      <c r="J21" s="12">
        <f t="shared" ref="J21" si="43">J22*J24</f>
        <v>332</v>
      </c>
      <c r="K21" s="12">
        <f t="shared" ref="K21" si="44">K22*K24</f>
        <v>664</v>
      </c>
      <c r="L21" s="12">
        <f t="shared" ref="L21" si="45">L22*L24</f>
        <v>996</v>
      </c>
      <c r="M21" s="12">
        <f t="shared" ref="M21" si="46">M22*M24</f>
        <v>1328</v>
      </c>
      <c r="N21" s="12">
        <f>SUM(B21:M21)</f>
        <v>3320</v>
      </c>
      <c r="O21" s="12">
        <f>O24*O22</f>
        <v>20079.36</v>
      </c>
      <c r="P21" s="12">
        <f t="shared" ref="P21:R21" si="47">P24*P22</f>
        <v>25299.993599999998</v>
      </c>
      <c r="Q21" s="12">
        <f t="shared" si="47"/>
        <v>31877.991936000002</v>
      </c>
      <c r="R21" s="12">
        <f t="shared" si="47"/>
        <v>40166.26983936</v>
      </c>
      <c r="S21" s="13">
        <f>SUM(N21:R21)</f>
        <v>120743.61537536001</v>
      </c>
    </row>
    <row r="22" spans="1:19" outlineLevel="1" x14ac:dyDescent="0.2">
      <c r="A22" s="11" t="s">
        <v>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2</v>
      </c>
      <c r="K22" s="14">
        <v>4</v>
      </c>
      <c r="L22" s="14">
        <v>6</v>
      </c>
      <c r="M22" s="14">
        <v>8</v>
      </c>
      <c r="N22" s="15">
        <f>SUM(B22:M22)</f>
        <v>20</v>
      </c>
      <c r="O22" s="15">
        <f>M22*12*(الإفتراضات!$B$7+1)</f>
        <v>115.19999999999999</v>
      </c>
      <c r="P22" s="15">
        <f>O22*(الإفتراضات!$B$7+1)</f>
        <v>138.23999999999998</v>
      </c>
      <c r="Q22" s="15">
        <f>P22*(الإفتراضات!$B$7+1)</f>
        <v>165.88799999999998</v>
      </c>
      <c r="R22" s="15">
        <f>Q22*(الإفتراضات!$B$7+1)</f>
        <v>199.06559999999996</v>
      </c>
      <c r="S22" s="17"/>
    </row>
    <row r="23" spans="1:19" outlineLevel="1" x14ac:dyDescent="0.2">
      <c r="A23" s="11" t="s">
        <v>15</v>
      </c>
      <c r="B23" s="16">
        <v>300</v>
      </c>
      <c r="C23" s="16">
        <v>300</v>
      </c>
      <c r="D23" s="16">
        <v>300</v>
      </c>
      <c r="E23" s="16">
        <v>300</v>
      </c>
      <c r="F23" s="16">
        <v>300</v>
      </c>
      <c r="G23" s="16">
        <v>300</v>
      </c>
      <c r="H23" s="16">
        <v>300</v>
      </c>
      <c r="I23" s="16">
        <v>300</v>
      </c>
      <c r="J23" s="16">
        <v>300</v>
      </c>
      <c r="K23" s="16">
        <v>300</v>
      </c>
      <c r="L23" s="16">
        <v>300</v>
      </c>
      <c r="M23" s="16">
        <v>300</v>
      </c>
      <c r="N23" s="15"/>
      <c r="O23" s="15">
        <f>M23*(1+الإفتراضات!$B$3)</f>
        <v>315</v>
      </c>
      <c r="P23" s="15">
        <f>O23*(1+الإفتراضات!$B$3)</f>
        <v>330.75</v>
      </c>
      <c r="Q23" s="15">
        <f>P23*(1+الإفتراضات!$B$3)</f>
        <v>347.28750000000002</v>
      </c>
      <c r="R23" s="15">
        <f>Q23*(1+الإفتراضات!$B$3)</f>
        <v>364.65187500000002</v>
      </c>
      <c r="S23" s="17"/>
    </row>
    <row r="24" spans="1:19" outlineLevel="1" x14ac:dyDescent="0.2">
      <c r="A24" s="11" t="s">
        <v>16</v>
      </c>
      <c r="B24" s="16">
        <v>166</v>
      </c>
      <c r="C24" s="16">
        <v>166</v>
      </c>
      <c r="D24" s="16">
        <v>166</v>
      </c>
      <c r="E24" s="16">
        <v>166</v>
      </c>
      <c r="F24" s="16">
        <v>166</v>
      </c>
      <c r="G24" s="16">
        <v>166</v>
      </c>
      <c r="H24" s="16">
        <v>166</v>
      </c>
      <c r="I24" s="16">
        <v>166</v>
      </c>
      <c r="J24" s="16">
        <v>166</v>
      </c>
      <c r="K24" s="16">
        <v>166</v>
      </c>
      <c r="L24" s="16">
        <v>166</v>
      </c>
      <c r="M24" s="16">
        <v>166</v>
      </c>
      <c r="N24" s="18"/>
      <c r="O24" s="15">
        <f>M24*(1+الإفتراضات!$B$3)</f>
        <v>174.3</v>
      </c>
      <c r="P24" s="15">
        <f>O24*(1+الإفتراضات!$B$3)</f>
        <v>183.01500000000001</v>
      </c>
      <c r="Q24" s="15">
        <f>P24*(1+الإفتراضات!$B$3)</f>
        <v>192.16575000000003</v>
      </c>
      <c r="R24" s="15">
        <f>Q24*(1+الإفتراضات!$B$3)</f>
        <v>201.77403750000005</v>
      </c>
      <c r="S24" s="17"/>
    </row>
    <row r="25" spans="1:19" outlineLevel="1" x14ac:dyDescent="0.2">
      <c r="A25" s="1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7"/>
    </row>
    <row r="26" spans="1:19" ht="15" outlineLevel="1" x14ac:dyDescent="0.25">
      <c r="A26" s="11" t="s">
        <v>106</v>
      </c>
      <c r="B26" s="12">
        <f>B29*B28</f>
        <v>0</v>
      </c>
      <c r="C26" s="12">
        <f t="shared" ref="C26:M26" si="48">C29*C28</f>
        <v>75</v>
      </c>
      <c r="D26" s="12">
        <f t="shared" si="48"/>
        <v>120</v>
      </c>
      <c r="E26" s="12">
        <f t="shared" si="48"/>
        <v>180</v>
      </c>
      <c r="F26" s="12">
        <f t="shared" si="48"/>
        <v>255</v>
      </c>
      <c r="G26" s="12">
        <f t="shared" si="48"/>
        <v>345</v>
      </c>
      <c r="H26" s="12">
        <f t="shared" si="48"/>
        <v>45</v>
      </c>
      <c r="I26" s="12">
        <f t="shared" si="48"/>
        <v>570</v>
      </c>
      <c r="J26" s="12">
        <f t="shared" si="48"/>
        <v>720</v>
      </c>
      <c r="K26" s="12">
        <f t="shared" si="48"/>
        <v>900</v>
      </c>
      <c r="L26" s="12">
        <f t="shared" si="48"/>
        <v>810</v>
      </c>
      <c r="M26" s="12">
        <f t="shared" si="48"/>
        <v>1050</v>
      </c>
      <c r="N26" s="12">
        <f>SUM(B26:M26)</f>
        <v>5070</v>
      </c>
      <c r="O26" s="12">
        <f>O29*O28</f>
        <v>15876</v>
      </c>
      <c r="P26" s="12">
        <f t="shared" ref="P26:R26" si="49">P29*P28</f>
        <v>20003.760000000002</v>
      </c>
      <c r="Q26" s="12">
        <f t="shared" si="49"/>
        <v>25204.7376</v>
      </c>
      <c r="R26" s="12">
        <f t="shared" si="49"/>
        <v>31757.969376000005</v>
      </c>
      <c r="S26" s="13">
        <f>SUM(N26:R26)</f>
        <v>97912.466976000011</v>
      </c>
    </row>
    <row r="27" spans="1:19" ht="15" outlineLevel="1" x14ac:dyDescent="0.25">
      <c r="A27" s="11" t="s">
        <v>107</v>
      </c>
      <c r="B27" s="12">
        <f>B28*B30</f>
        <v>0</v>
      </c>
      <c r="C27" s="12">
        <f t="shared" ref="C27" si="50">C28*C30</f>
        <v>0</v>
      </c>
      <c r="D27" s="12">
        <f t="shared" ref="D27" si="51">D28*D30</f>
        <v>0</v>
      </c>
      <c r="E27" s="12">
        <f t="shared" ref="E27" si="52">E28*E30</f>
        <v>0</v>
      </c>
      <c r="F27" s="12">
        <f t="shared" ref="F27" si="53">F28*F30</f>
        <v>0</v>
      </c>
      <c r="G27" s="12">
        <f t="shared" ref="G27" si="54">G28*G30</f>
        <v>0</v>
      </c>
      <c r="H27" s="12">
        <f t="shared" ref="H27" si="55">H28*H30</f>
        <v>0</v>
      </c>
      <c r="I27" s="12">
        <f t="shared" ref="I27" si="56">I28*I30</f>
        <v>0</v>
      </c>
      <c r="J27" s="12">
        <f t="shared" ref="J27" si="57">J28*J30</f>
        <v>0</v>
      </c>
      <c r="K27" s="12">
        <f t="shared" ref="K27" si="58">K28*K30</f>
        <v>0</v>
      </c>
      <c r="L27" s="12">
        <f t="shared" ref="L27" si="59">L28*L30</f>
        <v>0</v>
      </c>
      <c r="M27" s="12">
        <f t="shared" ref="M27" si="60">M28*M30</f>
        <v>0</v>
      </c>
      <c r="N27" s="12">
        <f>SUM(B27:M27)</f>
        <v>0</v>
      </c>
      <c r="O27" s="12">
        <f>O30*O28</f>
        <v>0</v>
      </c>
      <c r="P27" s="12">
        <f t="shared" ref="P27:R27" si="61">P30*P28</f>
        <v>0</v>
      </c>
      <c r="Q27" s="12">
        <f t="shared" si="61"/>
        <v>0</v>
      </c>
      <c r="R27" s="12">
        <f t="shared" si="61"/>
        <v>0</v>
      </c>
      <c r="S27" s="13">
        <f>SUM(N27:R27)</f>
        <v>0</v>
      </c>
    </row>
    <row r="28" spans="1:19" outlineLevel="1" x14ac:dyDescent="0.2">
      <c r="A28" s="11" t="s">
        <v>7</v>
      </c>
      <c r="B28" s="14"/>
      <c r="C28" s="14">
        <v>25000</v>
      </c>
      <c r="D28" s="14">
        <v>40000</v>
      </c>
      <c r="E28" s="14">
        <v>60000</v>
      </c>
      <c r="F28" s="14">
        <v>85000</v>
      </c>
      <c r="G28" s="14">
        <v>115000</v>
      </c>
      <c r="H28" s="14">
        <v>15000</v>
      </c>
      <c r="I28" s="14">
        <v>190000</v>
      </c>
      <c r="J28" s="14">
        <v>240000</v>
      </c>
      <c r="K28" s="14">
        <v>300000</v>
      </c>
      <c r="L28" s="14">
        <v>270000</v>
      </c>
      <c r="M28" s="14">
        <v>350000</v>
      </c>
      <c r="N28" s="15">
        <f>SUM(B28:M28)</f>
        <v>1690000</v>
      </c>
      <c r="O28" s="15">
        <f>M28*12*(الإفتراضات!$B$7+1)</f>
        <v>5040000</v>
      </c>
      <c r="P28" s="15">
        <f>O28*(الإفتراضات!$B$7+1)</f>
        <v>6048000</v>
      </c>
      <c r="Q28" s="15">
        <f>P28*(الإفتراضات!$B$7+1)</f>
        <v>7257600</v>
      </c>
      <c r="R28" s="15">
        <f>Q28*(الإفتراضات!$B$7+1)</f>
        <v>8709120</v>
      </c>
      <c r="S28" s="17"/>
    </row>
    <row r="29" spans="1:19" outlineLevel="1" x14ac:dyDescent="0.2">
      <c r="A29" s="11" t="s">
        <v>15</v>
      </c>
      <c r="B29" s="16"/>
      <c r="C29" s="16">
        <v>3.0000000000000001E-3</v>
      </c>
      <c r="D29" s="16">
        <v>3.0000000000000001E-3</v>
      </c>
      <c r="E29" s="16">
        <v>3.0000000000000001E-3</v>
      </c>
      <c r="F29" s="16">
        <v>3.0000000000000001E-3</v>
      </c>
      <c r="G29" s="16">
        <v>3.0000000000000001E-3</v>
      </c>
      <c r="H29" s="16">
        <v>3.0000000000000001E-3</v>
      </c>
      <c r="I29" s="16">
        <v>3.0000000000000001E-3</v>
      </c>
      <c r="J29" s="16">
        <v>3.0000000000000001E-3</v>
      </c>
      <c r="K29" s="16">
        <v>3.0000000000000001E-3</v>
      </c>
      <c r="L29" s="16">
        <v>3.0000000000000001E-3</v>
      </c>
      <c r="M29" s="16">
        <v>3.0000000000000001E-3</v>
      </c>
      <c r="N29" s="15"/>
      <c r="O29" s="15">
        <f>M29*(1+الإفتراضات!$B$3)</f>
        <v>3.15E-3</v>
      </c>
      <c r="P29" s="15">
        <f>O29*(1+الإفتراضات!$B$3)</f>
        <v>3.3075000000000001E-3</v>
      </c>
      <c r="Q29" s="15">
        <f>P29*(1+الإفتراضات!$B$3)</f>
        <v>3.4728750000000003E-3</v>
      </c>
      <c r="R29" s="15">
        <f>Q29*(1+الإفتراضات!$B$3)</f>
        <v>3.6465187500000005E-3</v>
      </c>
      <c r="S29" s="17"/>
    </row>
    <row r="30" spans="1:19" outlineLevel="1" x14ac:dyDescent="0.2">
      <c r="A30" s="11" t="s">
        <v>16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8"/>
      <c r="O30" s="15">
        <f>M30*(1+الإفتراضات!$B$3)</f>
        <v>0</v>
      </c>
      <c r="P30" s="15">
        <f>O30*(1+الإفتراضات!$B$3)</f>
        <v>0</v>
      </c>
      <c r="Q30" s="15">
        <f>P30*(1+الإفتراضات!$B$3)</f>
        <v>0</v>
      </c>
      <c r="R30" s="15">
        <f>Q30*(1+الإفتراضات!$B$3)</f>
        <v>0</v>
      </c>
      <c r="S30" s="17"/>
    </row>
    <row r="31" spans="1:19" outlineLevel="1" x14ac:dyDescent="0.2">
      <c r="A31" s="11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7"/>
    </row>
    <row r="32" spans="1:19" ht="15" outlineLevel="1" x14ac:dyDescent="0.25">
      <c r="A32" s="11" t="s">
        <v>8</v>
      </c>
      <c r="B32" s="12">
        <f>B35*B34</f>
        <v>0</v>
      </c>
      <c r="C32" s="12">
        <f t="shared" ref="C32:M32" si="62">C35*C34</f>
        <v>0</v>
      </c>
      <c r="D32" s="12">
        <f t="shared" si="62"/>
        <v>0</v>
      </c>
      <c r="E32" s="12">
        <f t="shared" si="62"/>
        <v>0</v>
      </c>
      <c r="F32" s="12">
        <f t="shared" si="62"/>
        <v>0</v>
      </c>
      <c r="G32" s="12">
        <f t="shared" si="62"/>
        <v>0</v>
      </c>
      <c r="H32" s="12">
        <f t="shared" si="62"/>
        <v>0</v>
      </c>
      <c r="I32" s="12">
        <f t="shared" si="62"/>
        <v>0</v>
      </c>
      <c r="J32" s="12">
        <f t="shared" si="62"/>
        <v>0</v>
      </c>
      <c r="K32" s="12">
        <f t="shared" si="62"/>
        <v>0</v>
      </c>
      <c r="L32" s="12">
        <f t="shared" si="62"/>
        <v>0</v>
      </c>
      <c r="M32" s="12">
        <f t="shared" si="62"/>
        <v>0</v>
      </c>
      <c r="N32" s="12">
        <f>SUM(B32:M32)</f>
        <v>0</v>
      </c>
      <c r="O32" s="12">
        <f>O35*O34</f>
        <v>0</v>
      </c>
      <c r="P32" s="12">
        <f t="shared" ref="P32:R32" si="63">P35*P34</f>
        <v>0</v>
      </c>
      <c r="Q32" s="12">
        <f t="shared" si="63"/>
        <v>0</v>
      </c>
      <c r="R32" s="12">
        <f t="shared" si="63"/>
        <v>0</v>
      </c>
      <c r="S32" s="13">
        <f>SUM(N32:R32)</f>
        <v>0</v>
      </c>
    </row>
    <row r="33" spans="1:19" ht="15" outlineLevel="1" x14ac:dyDescent="0.25">
      <c r="A33" s="11" t="s">
        <v>18</v>
      </c>
      <c r="B33" s="12">
        <f>B34*B36</f>
        <v>0</v>
      </c>
      <c r="C33" s="12">
        <f t="shared" ref="C33" si="64">C34*C36</f>
        <v>0</v>
      </c>
      <c r="D33" s="12">
        <f t="shared" ref="D33" si="65">D34*D36</f>
        <v>0</v>
      </c>
      <c r="E33" s="12">
        <f t="shared" ref="E33" si="66">E34*E36</f>
        <v>0</v>
      </c>
      <c r="F33" s="12">
        <f t="shared" ref="F33" si="67">F34*F36</f>
        <v>0</v>
      </c>
      <c r="G33" s="12">
        <f t="shared" ref="G33" si="68">G34*G36</f>
        <v>0</v>
      </c>
      <c r="H33" s="12">
        <f t="shared" ref="H33" si="69">H34*H36</f>
        <v>0</v>
      </c>
      <c r="I33" s="12">
        <f t="shared" ref="I33" si="70">I34*I36</f>
        <v>0</v>
      </c>
      <c r="J33" s="12">
        <f t="shared" ref="J33" si="71">J34*J36</f>
        <v>0</v>
      </c>
      <c r="K33" s="12">
        <f t="shared" ref="K33" si="72">K34*K36</f>
        <v>0</v>
      </c>
      <c r="L33" s="12">
        <f t="shared" ref="L33" si="73">L34*L36</f>
        <v>0</v>
      </c>
      <c r="M33" s="12">
        <f t="shared" ref="M33" si="74">M34*M36</f>
        <v>0</v>
      </c>
      <c r="N33" s="12">
        <f>SUM(B33:M33)</f>
        <v>0</v>
      </c>
      <c r="O33" s="12">
        <f>O36*O34</f>
        <v>0</v>
      </c>
      <c r="P33" s="12">
        <f t="shared" ref="P33:R33" si="75">P36*P34</f>
        <v>0</v>
      </c>
      <c r="Q33" s="12">
        <f t="shared" si="75"/>
        <v>0</v>
      </c>
      <c r="R33" s="12">
        <f t="shared" si="75"/>
        <v>0</v>
      </c>
      <c r="S33" s="13">
        <f>SUM(N33:R33)</f>
        <v>0</v>
      </c>
    </row>
    <row r="34" spans="1:19" outlineLevel="1" x14ac:dyDescent="0.2">
      <c r="A34" s="11" t="s">
        <v>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5">
        <f>SUM(B34:M34)</f>
        <v>0</v>
      </c>
      <c r="O34" s="15">
        <f>M34*12*(الإفتراضات!$B$7+1)</f>
        <v>0</v>
      </c>
      <c r="P34" s="15">
        <f>O34*(الإفتراضات!$B$7+1)</f>
        <v>0</v>
      </c>
      <c r="Q34" s="15">
        <f>P34*(الإفتراضات!$B$7+1)</f>
        <v>0</v>
      </c>
      <c r="R34" s="15">
        <f>Q34*(الإفتراضات!$B$7+1)</f>
        <v>0</v>
      </c>
      <c r="S34" s="17"/>
    </row>
    <row r="35" spans="1:19" outlineLevel="1" x14ac:dyDescent="0.2">
      <c r="A35" s="11" t="s">
        <v>15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5"/>
      <c r="O35" s="15">
        <f>M35*(1+الإفتراضات!$B$3)</f>
        <v>0</v>
      </c>
      <c r="P35" s="15">
        <f>O35*(1+الإفتراضات!$B$3)</f>
        <v>0</v>
      </c>
      <c r="Q35" s="15">
        <f>P35*(1+الإفتراضات!$B$3)</f>
        <v>0</v>
      </c>
      <c r="R35" s="15">
        <f>Q35*(1+الإفتراضات!$B$3)</f>
        <v>0</v>
      </c>
      <c r="S35" s="17"/>
    </row>
    <row r="36" spans="1:19" outlineLevel="1" x14ac:dyDescent="0.2">
      <c r="A36" s="11" t="s">
        <v>16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8"/>
      <c r="O36" s="15">
        <f>M36*(1+الإفتراضات!$B$3)</f>
        <v>0</v>
      </c>
      <c r="P36" s="15">
        <f>O36*(1+الإفتراضات!$B$3)</f>
        <v>0</v>
      </c>
      <c r="Q36" s="15">
        <f>P36*(1+الإفتراضات!$B$3)</f>
        <v>0</v>
      </c>
      <c r="R36" s="15">
        <f>Q36*(1+الإفتراضات!$B$3)</f>
        <v>0</v>
      </c>
      <c r="S36" s="17"/>
    </row>
    <row r="37" spans="1:19" outlineLevel="1" x14ac:dyDescent="0.2">
      <c r="A37" s="11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7"/>
    </row>
    <row r="38" spans="1:19" ht="15" outlineLevel="1" x14ac:dyDescent="0.25">
      <c r="A38" s="11" t="s">
        <v>9</v>
      </c>
      <c r="B38" s="12">
        <f>B41*B40</f>
        <v>0</v>
      </c>
      <c r="C38" s="12">
        <f t="shared" ref="C38:M38" si="76">C41*C40</f>
        <v>0</v>
      </c>
      <c r="D38" s="12">
        <f t="shared" si="76"/>
        <v>0</v>
      </c>
      <c r="E38" s="12">
        <f t="shared" si="76"/>
        <v>0</v>
      </c>
      <c r="F38" s="12">
        <f t="shared" si="76"/>
        <v>0</v>
      </c>
      <c r="G38" s="12">
        <f t="shared" si="76"/>
        <v>0</v>
      </c>
      <c r="H38" s="12">
        <f t="shared" si="76"/>
        <v>0</v>
      </c>
      <c r="I38" s="12">
        <f t="shared" si="76"/>
        <v>0</v>
      </c>
      <c r="J38" s="12">
        <f t="shared" si="76"/>
        <v>0</v>
      </c>
      <c r="K38" s="12">
        <f t="shared" si="76"/>
        <v>0</v>
      </c>
      <c r="L38" s="12">
        <f t="shared" si="76"/>
        <v>0</v>
      </c>
      <c r="M38" s="12">
        <f t="shared" si="76"/>
        <v>0</v>
      </c>
      <c r="N38" s="12">
        <f>SUM(B38:M38)</f>
        <v>0</v>
      </c>
      <c r="O38" s="12">
        <f>O41*O40</f>
        <v>0</v>
      </c>
      <c r="P38" s="12">
        <f t="shared" ref="P38:R38" si="77">P41*P40</f>
        <v>0</v>
      </c>
      <c r="Q38" s="12">
        <f t="shared" si="77"/>
        <v>0</v>
      </c>
      <c r="R38" s="12">
        <f t="shared" si="77"/>
        <v>0</v>
      </c>
      <c r="S38" s="13">
        <f>SUM(N38:R38)</f>
        <v>0</v>
      </c>
    </row>
    <row r="39" spans="1:19" ht="15" outlineLevel="1" x14ac:dyDescent="0.25">
      <c r="A39" s="11" t="s">
        <v>19</v>
      </c>
      <c r="B39" s="12">
        <f>B40*B42</f>
        <v>0</v>
      </c>
      <c r="C39" s="12">
        <f t="shared" ref="C39" si="78">C40*C42</f>
        <v>0</v>
      </c>
      <c r="D39" s="12">
        <f t="shared" ref="D39" si="79">D40*D42</f>
        <v>0</v>
      </c>
      <c r="E39" s="12">
        <f t="shared" ref="E39" si="80">E40*E42</f>
        <v>0</v>
      </c>
      <c r="F39" s="12">
        <f t="shared" ref="F39" si="81">F40*F42</f>
        <v>0</v>
      </c>
      <c r="G39" s="12">
        <f t="shared" ref="G39" si="82">G40*G42</f>
        <v>0</v>
      </c>
      <c r="H39" s="12">
        <f t="shared" ref="H39" si="83">H40*H42</f>
        <v>0</v>
      </c>
      <c r="I39" s="12">
        <f t="shared" ref="I39" si="84">I40*I42</f>
        <v>0</v>
      </c>
      <c r="J39" s="12">
        <f t="shared" ref="J39" si="85">J40*J42</f>
        <v>0</v>
      </c>
      <c r="K39" s="12">
        <f t="shared" ref="K39" si="86">K40*K42</f>
        <v>0</v>
      </c>
      <c r="L39" s="12">
        <f t="shared" ref="L39" si="87">L40*L42</f>
        <v>0</v>
      </c>
      <c r="M39" s="12">
        <f t="shared" ref="M39" si="88">M40*M42</f>
        <v>0</v>
      </c>
      <c r="N39" s="12">
        <f>SUM(B39:M39)</f>
        <v>0</v>
      </c>
      <c r="O39" s="12">
        <f>O42*O40</f>
        <v>0</v>
      </c>
      <c r="P39" s="12">
        <f t="shared" ref="P39:R39" si="89">P42*P40</f>
        <v>0</v>
      </c>
      <c r="Q39" s="12">
        <f t="shared" si="89"/>
        <v>0</v>
      </c>
      <c r="R39" s="12">
        <f t="shared" si="89"/>
        <v>0</v>
      </c>
      <c r="S39" s="13">
        <f>SUM(N39:R39)</f>
        <v>0</v>
      </c>
    </row>
    <row r="40" spans="1:19" outlineLevel="1" x14ac:dyDescent="0.2">
      <c r="A40" s="11" t="s">
        <v>7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>
        <f>SUM(B40:M40)</f>
        <v>0</v>
      </c>
      <c r="O40" s="15">
        <f>M40*12*(الإفتراضات!$B$7+1)</f>
        <v>0</v>
      </c>
      <c r="P40" s="15">
        <f>O40*(الإفتراضات!$B$7+1)</f>
        <v>0</v>
      </c>
      <c r="Q40" s="15">
        <f>P40*(الإفتراضات!$B$7+1)</f>
        <v>0</v>
      </c>
      <c r="R40" s="15">
        <f>Q40*(الإفتراضات!$B$7+1)</f>
        <v>0</v>
      </c>
      <c r="S40" s="17"/>
    </row>
    <row r="41" spans="1:19" outlineLevel="1" x14ac:dyDescent="0.2">
      <c r="A41" s="11" t="s">
        <v>15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5"/>
      <c r="O41" s="15">
        <f>M41*(1+الإفتراضات!$B$3)</f>
        <v>0</v>
      </c>
      <c r="P41" s="15">
        <f>O41*(1+الإفتراضات!$B$3)</f>
        <v>0</v>
      </c>
      <c r="Q41" s="15">
        <f>P41*(1+الإفتراضات!$B$3)</f>
        <v>0</v>
      </c>
      <c r="R41" s="15">
        <f>Q41*(1+الإفتراضات!$B$3)</f>
        <v>0</v>
      </c>
      <c r="S41" s="17"/>
    </row>
    <row r="42" spans="1:19" outlineLevel="1" x14ac:dyDescent="0.2">
      <c r="A42" s="11" t="s">
        <v>16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8"/>
      <c r="O42" s="15">
        <f>M42*(1+الإفتراضات!$B$3)</f>
        <v>0</v>
      </c>
      <c r="P42" s="15">
        <f>O42*(1+الإفتراضات!$B$3)</f>
        <v>0</v>
      </c>
      <c r="Q42" s="15">
        <f>P42*(1+الإفتراضات!$B$3)</f>
        <v>0</v>
      </c>
      <c r="R42" s="15">
        <f>Q42*(1+الإفتراضات!$B$3)</f>
        <v>0</v>
      </c>
      <c r="S42" s="17"/>
    </row>
    <row r="43" spans="1:19" outlineLevel="1" x14ac:dyDescent="0.2">
      <c r="A43" s="11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7"/>
    </row>
    <row r="44" spans="1:19" ht="15" outlineLevel="1" x14ac:dyDescent="0.25">
      <c r="A44" s="11" t="s">
        <v>10</v>
      </c>
      <c r="B44" s="12">
        <f>B47*B46</f>
        <v>0</v>
      </c>
      <c r="C44" s="12">
        <f t="shared" ref="C44:M44" si="90">C47*C46</f>
        <v>0</v>
      </c>
      <c r="D44" s="12">
        <f t="shared" si="90"/>
        <v>0</v>
      </c>
      <c r="E44" s="12">
        <f t="shared" si="90"/>
        <v>0</v>
      </c>
      <c r="F44" s="12">
        <f t="shared" si="90"/>
        <v>0</v>
      </c>
      <c r="G44" s="12">
        <f t="shared" si="90"/>
        <v>0</v>
      </c>
      <c r="H44" s="12">
        <f t="shared" si="90"/>
        <v>0</v>
      </c>
      <c r="I44" s="12">
        <f t="shared" si="90"/>
        <v>0</v>
      </c>
      <c r="J44" s="12">
        <f t="shared" si="90"/>
        <v>0</v>
      </c>
      <c r="K44" s="12">
        <f t="shared" si="90"/>
        <v>0</v>
      </c>
      <c r="L44" s="12">
        <f t="shared" si="90"/>
        <v>0</v>
      </c>
      <c r="M44" s="12">
        <f t="shared" si="90"/>
        <v>0</v>
      </c>
      <c r="N44" s="12">
        <f>SUM(B44:M44)</f>
        <v>0</v>
      </c>
      <c r="O44" s="12">
        <f>O47*O46</f>
        <v>0</v>
      </c>
      <c r="P44" s="12">
        <f t="shared" ref="P44:R44" si="91">P47*P46</f>
        <v>0</v>
      </c>
      <c r="Q44" s="12">
        <f t="shared" si="91"/>
        <v>0</v>
      </c>
      <c r="R44" s="12">
        <f t="shared" si="91"/>
        <v>0</v>
      </c>
      <c r="S44" s="13">
        <f>SUM(N44:R44)</f>
        <v>0</v>
      </c>
    </row>
    <row r="45" spans="1:19" ht="15" outlineLevel="1" x14ac:dyDescent="0.25">
      <c r="A45" s="11" t="s">
        <v>20</v>
      </c>
      <c r="B45" s="12">
        <f>B46*B48</f>
        <v>0</v>
      </c>
      <c r="C45" s="12">
        <f t="shared" ref="C45" si="92">C46*C48</f>
        <v>0</v>
      </c>
      <c r="D45" s="12">
        <f t="shared" ref="D45" si="93">D46*D48</f>
        <v>0</v>
      </c>
      <c r="E45" s="12">
        <f t="shared" ref="E45" si="94">E46*E48</f>
        <v>0</v>
      </c>
      <c r="F45" s="12">
        <f t="shared" ref="F45" si="95">F46*F48</f>
        <v>0</v>
      </c>
      <c r="G45" s="12">
        <f t="shared" ref="G45" si="96">G46*G48</f>
        <v>0</v>
      </c>
      <c r="H45" s="12">
        <f t="shared" ref="H45" si="97">H46*H48</f>
        <v>0</v>
      </c>
      <c r="I45" s="12">
        <f t="shared" ref="I45" si="98">I46*I48</f>
        <v>0</v>
      </c>
      <c r="J45" s="12">
        <f t="shared" ref="J45" si="99">J46*J48</f>
        <v>0</v>
      </c>
      <c r="K45" s="12">
        <f t="shared" ref="K45" si="100">K46*K48</f>
        <v>0</v>
      </c>
      <c r="L45" s="12">
        <f t="shared" ref="L45" si="101">L46*L48</f>
        <v>0</v>
      </c>
      <c r="M45" s="12">
        <f t="shared" ref="M45" si="102">M46*M48</f>
        <v>0</v>
      </c>
      <c r="N45" s="12">
        <f>SUM(B45:M45)</f>
        <v>0</v>
      </c>
      <c r="O45" s="12">
        <f>O48*O46</f>
        <v>0</v>
      </c>
      <c r="P45" s="12">
        <f t="shared" ref="P45:R45" si="103">P48*P46</f>
        <v>0</v>
      </c>
      <c r="Q45" s="12">
        <f t="shared" si="103"/>
        <v>0</v>
      </c>
      <c r="R45" s="12">
        <f t="shared" si="103"/>
        <v>0</v>
      </c>
      <c r="S45" s="13">
        <f>SUM(N45:R45)</f>
        <v>0</v>
      </c>
    </row>
    <row r="46" spans="1:19" outlineLevel="1" x14ac:dyDescent="0.2">
      <c r="A46" s="11" t="s">
        <v>7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5">
        <f>SUM(B46:M46)</f>
        <v>0</v>
      </c>
      <c r="O46" s="15">
        <f>M46*12*(الإفتراضات!$B$7+1)</f>
        <v>0</v>
      </c>
      <c r="P46" s="15">
        <f>O46*(الإفتراضات!$B$7+1)</f>
        <v>0</v>
      </c>
      <c r="Q46" s="15">
        <f>P46*(الإفتراضات!$B$7+1)</f>
        <v>0</v>
      </c>
      <c r="R46" s="15">
        <f>Q46*(الإفتراضات!$B$7+1)</f>
        <v>0</v>
      </c>
      <c r="S46" s="17"/>
    </row>
    <row r="47" spans="1:19" outlineLevel="1" x14ac:dyDescent="0.2">
      <c r="A47" s="11" t="s">
        <v>15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5"/>
      <c r="O47" s="15">
        <f>M47*(1+الإفتراضات!$B$3)</f>
        <v>0</v>
      </c>
      <c r="P47" s="15">
        <f>O47*(1+الإفتراضات!$B$3)</f>
        <v>0</v>
      </c>
      <c r="Q47" s="15">
        <f>P47*(1+الإفتراضات!$B$3)</f>
        <v>0</v>
      </c>
      <c r="R47" s="15">
        <f>Q47*(1+الإفتراضات!$B$3)</f>
        <v>0</v>
      </c>
      <c r="S47" s="17"/>
    </row>
    <row r="48" spans="1:19" outlineLevel="1" x14ac:dyDescent="0.2">
      <c r="A48" s="11" t="s">
        <v>16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8"/>
      <c r="O48" s="15">
        <f>M48*(1+الإفتراضات!$B$3)</f>
        <v>0</v>
      </c>
      <c r="P48" s="15">
        <f>O48*(1+الإفتراضات!$B$3)</f>
        <v>0</v>
      </c>
      <c r="Q48" s="15">
        <f>P48*(1+الإفتراضات!$B$3)</f>
        <v>0</v>
      </c>
      <c r="R48" s="15">
        <f>Q48*(1+الإفتراضات!$B$3)</f>
        <v>0</v>
      </c>
      <c r="S48" s="17"/>
    </row>
    <row r="49" spans="1:20" outlineLevel="1" x14ac:dyDescent="0.2">
      <c r="A49" s="11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7"/>
    </row>
    <row r="50" spans="1:20" ht="15" outlineLevel="1" x14ac:dyDescent="0.25">
      <c r="A50" s="11" t="s">
        <v>11</v>
      </c>
      <c r="B50" s="12">
        <f>B53*B52</f>
        <v>0</v>
      </c>
      <c r="C50" s="12">
        <f t="shared" ref="C50:M50" si="104">C53*C52</f>
        <v>0</v>
      </c>
      <c r="D50" s="12">
        <f t="shared" si="104"/>
        <v>0</v>
      </c>
      <c r="E50" s="12">
        <f t="shared" si="104"/>
        <v>0</v>
      </c>
      <c r="F50" s="12">
        <f t="shared" si="104"/>
        <v>0</v>
      </c>
      <c r="G50" s="12">
        <f t="shared" si="104"/>
        <v>0</v>
      </c>
      <c r="H50" s="12">
        <f t="shared" si="104"/>
        <v>0</v>
      </c>
      <c r="I50" s="12">
        <f t="shared" si="104"/>
        <v>0</v>
      </c>
      <c r="J50" s="12">
        <f t="shared" si="104"/>
        <v>0</v>
      </c>
      <c r="K50" s="12">
        <f t="shared" si="104"/>
        <v>0</v>
      </c>
      <c r="L50" s="12">
        <f t="shared" si="104"/>
        <v>0</v>
      </c>
      <c r="M50" s="12">
        <f t="shared" si="104"/>
        <v>0</v>
      </c>
      <c r="N50" s="12">
        <f>SUM(B50:M50)</f>
        <v>0</v>
      </c>
      <c r="O50" s="12">
        <f>O53*O52</f>
        <v>0</v>
      </c>
      <c r="P50" s="12">
        <f t="shared" ref="P50:R50" si="105">P53*P52</f>
        <v>0</v>
      </c>
      <c r="Q50" s="12">
        <f t="shared" si="105"/>
        <v>0</v>
      </c>
      <c r="R50" s="12">
        <f t="shared" si="105"/>
        <v>0</v>
      </c>
      <c r="S50" s="13">
        <f>SUM(N50:R50)</f>
        <v>0</v>
      </c>
    </row>
    <row r="51" spans="1:20" ht="15" outlineLevel="1" x14ac:dyDescent="0.25">
      <c r="A51" s="11" t="s">
        <v>21</v>
      </c>
      <c r="B51" s="12">
        <f>B52*B54</f>
        <v>0</v>
      </c>
      <c r="C51" s="12">
        <f t="shared" ref="C51" si="106">C52*C54</f>
        <v>0</v>
      </c>
      <c r="D51" s="12">
        <f t="shared" ref="D51" si="107">D52*D54</f>
        <v>0</v>
      </c>
      <c r="E51" s="12">
        <f t="shared" ref="E51" si="108">E52*E54</f>
        <v>0</v>
      </c>
      <c r="F51" s="12">
        <f t="shared" ref="F51" si="109">F52*F54</f>
        <v>0</v>
      </c>
      <c r="G51" s="12">
        <f t="shared" ref="G51" si="110">G52*G54</f>
        <v>0</v>
      </c>
      <c r="H51" s="12">
        <f t="shared" ref="H51" si="111">H52*H54</f>
        <v>0</v>
      </c>
      <c r="I51" s="12">
        <f t="shared" ref="I51" si="112">I52*I54</f>
        <v>0</v>
      </c>
      <c r="J51" s="12">
        <f t="shared" ref="J51" si="113">J52*J54</f>
        <v>0</v>
      </c>
      <c r="K51" s="12">
        <f t="shared" ref="K51" si="114">K52*K54</f>
        <v>0</v>
      </c>
      <c r="L51" s="12">
        <f t="shared" ref="L51" si="115">L52*L54</f>
        <v>0</v>
      </c>
      <c r="M51" s="12">
        <f t="shared" ref="M51" si="116">M52*M54</f>
        <v>0</v>
      </c>
      <c r="N51" s="12">
        <f>SUM(B51:M51)</f>
        <v>0</v>
      </c>
      <c r="O51" s="12">
        <f>O54*O52</f>
        <v>0</v>
      </c>
      <c r="P51" s="12">
        <f t="shared" ref="P51:R51" si="117">P54*P52</f>
        <v>0</v>
      </c>
      <c r="Q51" s="12">
        <f t="shared" si="117"/>
        <v>0</v>
      </c>
      <c r="R51" s="12">
        <f t="shared" si="117"/>
        <v>0</v>
      </c>
      <c r="S51" s="13">
        <f>SUM(N51:R51)</f>
        <v>0</v>
      </c>
    </row>
    <row r="52" spans="1:20" outlineLevel="1" x14ac:dyDescent="0.2">
      <c r="A52" s="11" t="s">
        <v>7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5">
        <f>SUM(B52:M52)</f>
        <v>0</v>
      </c>
      <c r="O52" s="15">
        <f>M52*12*(الإفتراضات!$B$7+1)</f>
        <v>0</v>
      </c>
      <c r="P52" s="15">
        <f>O52*(الإفتراضات!$B$7+1)</f>
        <v>0</v>
      </c>
      <c r="Q52" s="15">
        <f>P52*(الإفتراضات!$B$7+1)</f>
        <v>0</v>
      </c>
      <c r="R52" s="15">
        <f>Q52*(الإفتراضات!$B$7+1)</f>
        <v>0</v>
      </c>
      <c r="S52" s="17"/>
    </row>
    <row r="53" spans="1:20" outlineLevel="1" x14ac:dyDescent="0.2">
      <c r="A53" s="11" t="s">
        <v>15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5"/>
      <c r="O53" s="15">
        <f>M53*(1+الإفتراضات!$B$3)</f>
        <v>0</v>
      </c>
      <c r="P53" s="15">
        <f>O53*(1+الإفتراضات!$B$3)</f>
        <v>0</v>
      </c>
      <c r="Q53" s="15">
        <f>P53*(1+الإفتراضات!$B$3)</f>
        <v>0</v>
      </c>
      <c r="R53" s="15">
        <f>Q53*(1+الإفتراضات!$B$3)</f>
        <v>0</v>
      </c>
      <c r="S53" s="17"/>
    </row>
    <row r="54" spans="1:20" outlineLevel="1" x14ac:dyDescent="0.2">
      <c r="A54" s="11" t="s">
        <v>16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8"/>
      <c r="O54" s="15">
        <f>M54*(1+الإفتراضات!$B$3)</f>
        <v>0</v>
      </c>
      <c r="P54" s="15">
        <f>O54*(1+الإفتراضات!$B$3)</f>
        <v>0</v>
      </c>
      <c r="Q54" s="15">
        <f>P54*(1+الإفتراضات!$B$3)</f>
        <v>0</v>
      </c>
      <c r="R54" s="15">
        <f>Q54*(1+الإفتراضات!$B$3)</f>
        <v>0</v>
      </c>
      <c r="S54" s="17"/>
    </row>
    <row r="55" spans="1:20" outlineLevel="1" x14ac:dyDescent="0.2">
      <c r="A55" s="11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7"/>
    </row>
    <row r="56" spans="1:20" ht="15" outlineLevel="1" x14ac:dyDescent="0.25">
      <c r="A56" s="11" t="s">
        <v>12</v>
      </c>
      <c r="B56" s="12">
        <f>B59*B58</f>
        <v>0</v>
      </c>
      <c r="C56" s="12">
        <f t="shared" ref="C56:M56" si="118">C59*C58</f>
        <v>0</v>
      </c>
      <c r="D56" s="12">
        <f t="shared" si="118"/>
        <v>0</v>
      </c>
      <c r="E56" s="12">
        <f t="shared" si="118"/>
        <v>0</v>
      </c>
      <c r="F56" s="12">
        <f t="shared" si="118"/>
        <v>0</v>
      </c>
      <c r="G56" s="12">
        <f t="shared" si="118"/>
        <v>0</v>
      </c>
      <c r="H56" s="12">
        <f t="shared" si="118"/>
        <v>0</v>
      </c>
      <c r="I56" s="12">
        <f t="shared" si="118"/>
        <v>0</v>
      </c>
      <c r="J56" s="12">
        <f t="shared" si="118"/>
        <v>0</v>
      </c>
      <c r="K56" s="12">
        <f t="shared" si="118"/>
        <v>0</v>
      </c>
      <c r="L56" s="12">
        <f t="shared" si="118"/>
        <v>0</v>
      </c>
      <c r="M56" s="12">
        <f t="shared" si="118"/>
        <v>0</v>
      </c>
      <c r="N56" s="12">
        <f>SUM(B56:M56)</f>
        <v>0</v>
      </c>
      <c r="O56" s="12">
        <f>O59*O58</f>
        <v>0</v>
      </c>
      <c r="P56" s="12">
        <f t="shared" ref="P56:R56" si="119">P59*P58</f>
        <v>0</v>
      </c>
      <c r="Q56" s="12">
        <f t="shared" si="119"/>
        <v>0</v>
      </c>
      <c r="R56" s="12">
        <f t="shared" si="119"/>
        <v>0</v>
      </c>
      <c r="S56" s="13">
        <f>SUM(N56:R56)</f>
        <v>0</v>
      </c>
    </row>
    <row r="57" spans="1:20" ht="15" outlineLevel="1" x14ac:dyDescent="0.25">
      <c r="A57" s="11" t="s">
        <v>22</v>
      </c>
      <c r="B57" s="12">
        <f>B58*B60</f>
        <v>0</v>
      </c>
      <c r="C57" s="12">
        <f t="shared" ref="C57" si="120">C58*C60</f>
        <v>0</v>
      </c>
      <c r="D57" s="12">
        <f t="shared" ref="D57" si="121">D58*D60</f>
        <v>0</v>
      </c>
      <c r="E57" s="12">
        <f t="shared" ref="E57" si="122">E58*E60</f>
        <v>0</v>
      </c>
      <c r="F57" s="12">
        <f t="shared" ref="F57" si="123">F58*F60</f>
        <v>0</v>
      </c>
      <c r="G57" s="12">
        <f t="shared" ref="G57" si="124">G58*G60</f>
        <v>0</v>
      </c>
      <c r="H57" s="12">
        <f t="shared" ref="H57" si="125">H58*H60</f>
        <v>0</v>
      </c>
      <c r="I57" s="12">
        <f t="shared" ref="I57" si="126">I58*I60</f>
        <v>0</v>
      </c>
      <c r="J57" s="12">
        <f t="shared" ref="J57" si="127">J58*J60</f>
        <v>0</v>
      </c>
      <c r="K57" s="12">
        <f t="shared" ref="K57" si="128">K58*K60</f>
        <v>0</v>
      </c>
      <c r="L57" s="12">
        <f t="shared" ref="L57" si="129">L58*L60</f>
        <v>0</v>
      </c>
      <c r="M57" s="12">
        <f t="shared" ref="M57" si="130">M58*M60</f>
        <v>0</v>
      </c>
      <c r="N57" s="12">
        <f>SUM(B57:M57)</f>
        <v>0</v>
      </c>
      <c r="O57" s="12">
        <f>O60*O58</f>
        <v>0</v>
      </c>
      <c r="P57" s="12">
        <f t="shared" ref="P57:R57" si="131">P60*P58</f>
        <v>0</v>
      </c>
      <c r="Q57" s="12">
        <f t="shared" si="131"/>
        <v>0</v>
      </c>
      <c r="R57" s="12">
        <f t="shared" si="131"/>
        <v>0</v>
      </c>
      <c r="S57" s="13">
        <f>SUM(N57:R57)</f>
        <v>0</v>
      </c>
    </row>
    <row r="58" spans="1:20" outlineLevel="1" x14ac:dyDescent="0.2">
      <c r="A58" s="11" t="s">
        <v>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5">
        <f>SUM(B58:M58)</f>
        <v>0</v>
      </c>
      <c r="O58" s="15">
        <f>M58*12*(الإفتراضات!$B$7+1)</f>
        <v>0</v>
      </c>
      <c r="P58" s="15">
        <f>O58*(الإفتراضات!$B$7+1)</f>
        <v>0</v>
      </c>
      <c r="Q58" s="15">
        <f>P58*(الإفتراضات!$B$7+1)</f>
        <v>0</v>
      </c>
      <c r="R58" s="15">
        <f>Q58*(الإفتراضات!$B$7+1)</f>
        <v>0</v>
      </c>
      <c r="S58" s="17"/>
    </row>
    <row r="59" spans="1:20" outlineLevel="1" x14ac:dyDescent="0.2">
      <c r="A59" s="11" t="s">
        <v>15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5"/>
      <c r="O59" s="15">
        <f>M59*(1+الإفتراضات!$B$3)</f>
        <v>0</v>
      </c>
      <c r="P59" s="15">
        <f>O59*(1+الإفتراضات!$B$3)</f>
        <v>0</v>
      </c>
      <c r="Q59" s="15">
        <f>P59*(1+الإفتراضات!$B$3)</f>
        <v>0</v>
      </c>
      <c r="R59" s="15">
        <f>Q59*(1+الإفتراضات!$B$3)</f>
        <v>0</v>
      </c>
      <c r="S59" s="17"/>
    </row>
    <row r="60" spans="1:20" ht="15" outlineLevel="1" thickBot="1" x14ac:dyDescent="0.25">
      <c r="A60" s="19" t="s">
        <v>16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20"/>
      <c r="O60" s="21">
        <f>M60*(1+الإفتراضات!$B$3)</f>
        <v>0</v>
      </c>
      <c r="P60" s="21">
        <f>O60*(1+الإفتراضات!$B$3)</f>
        <v>0</v>
      </c>
      <c r="Q60" s="21">
        <f>P60*(1+الإفتراضات!$B$3)</f>
        <v>0</v>
      </c>
      <c r="R60" s="21">
        <f>Q60*(1+الإفتراضات!$B$3)</f>
        <v>0</v>
      </c>
      <c r="S60" s="22"/>
    </row>
    <row r="61" spans="1:20" ht="16.5" thickTop="1" thickBot="1" x14ac:dyDescent="0.3">
      <c r="N61" s="2" t="s">
        <v>1</v>
      </c>
      <c r="O61" s="2" t="s">
        <v>2</v>
      </c>
      <c r="P61" s="2" t="s">
        <v>3</v>
      </c>
      <c r="Q61" s="2" t="s">
        <v>4</v>
      </c>
      <c r="R61" s="2" t="s">
        <v>5</v>
      </c>
      <c r="S61" s="2" t="s">
        <v>14</v>
      </c>
    </row>
    <row r="62" spans="1:20" ht="15.75" thickTop="1" x14ac:dyDescent="0.25">
      <c r="A62" s="7" t="s">
        <v>13</v>
      </c>
      <c r="B62" s="23">
        <f t="shared" ref="B62:M62" si="132">B2+B8+B14+B20+B26+B32+B38+B38+B44+B50+B56</f>
        <v>390</v>
      </c>
      <c r="C62" s="23">
        <f t="shared" si="132"/>
        <v>582</v>
      </c>
      <c r="D62" s="23">
        <f t="shared" si="132"/>
        <v>783</v>
      </c>
      <c r="E62" s="23">
        <f t="shared" si="132"/>
        <v>1026</v>
      </c>
      <c r="F62" s="23">
        <f t="shared" si="132"/>
        <v>1311</v>
      </c>
      <c r="G62" s="23">
        <f t="shared" si="132"/>
        <v>1668</v>
      </c>
      <c r="H62" s="23">
        <f t="shared" si="132"/>
        <v>1662</v>
      </c>
      <c r="I62" s="23">
        <f t="shared" si="132"/>
        <v>2514</v>
      </c>
      <c r="J62" s="23">
        <f t="shared" si="132"/>
        <v>3648</v>
      </c>
      <c r="K62" s="23">
        <f t="shared" si="132"/>
        <v>4935</v>
      </c>
      <c r="L62" s="23">
        <f t="shared" si="132"/>
        <v>6060</v>
      </c>
      <c r="M62" s="23">
        <f t="shared" si="132"/>
        <v>7710</v>
      </c>
      <c r="N62" s="23">
        <f>N2+N8+N14+N20+N26+N32+N38+N38+N44+N50+N56</f>
        <v>32289</v>
      </c>
      <c r="O62" s="23">
        <f t="shared" ref="O62:R62" si="133">O2+O8+O14+O20+O26+O32+O38+O38+O44+O50+O56</f>
        <v>116575.20000000001</v>
      </c>
      <c r="P62" s="23">
        <f t="shared" si="133"/>
        <v>146884.75200000001</v>
      </c>
      <c r="Q62" s="23">
        <f t="shared" si="133"/>
        <v>185074.78752000001</v>
      </c>
      <c r="R62" s="23">
        <f t="shared" si="133"/>
        <v>233194.23227520002</v>
      </c>
      <c r="S62" s="23">
        <f>SUM(N62:R62)</f>
        <v>714017.97179520014</v>
      </c>
      <c r="T62" s="26">
        <f>S62/S62</f>
        <v>1</v>
      </c>
    </row>
    <row r="63" spans="1:20" ht="15" x14ac:dyDescent="0.25">
      <c r="A63" s="11" t="s">
        <v>17</v>
      </c>
      <c r="B63" s="24">
        <f t="shared" ref="B63:M63" si="134">B3+B9+B15+B21+B27+B33+B39+B39+B45+B51+B57</f>
        <v>30</v>
      </c>
      <c r="C63" s="24">
        <f t="shared" si="134"/>
        <v>39</v>
      </c>
      <c r="D63" s="24">
        <f t="shared" si="134"/>
        <v>51</v>
      </c>
      <c r="E63" s="24">
        <f t="shared" si="134"/>
        <v>66</v>
      </c>
      <c r="F63" s="24">
        <f t="shared" si="134"/>
        <v>84</v>
      </c>
      <c r="G63" s="24">
        <f t="shared" si="134"/>
        <v>111</v>
      </c>
      <c r="H63" s="24">
        <f t="shared" si="134"/>
        <v>135</v>
      </c>
      <c r="I63" s="24">
        <f t="shared" si="134"/>
        <v>162</v>
      </c>
      <c r="J63" s="24">
        <f t="shared" si="134"/>
        <v>524</v>
      </c>
      <c r="K63" s="24">
        <f t="shared" si="134"/>
        <v>889</v>
      </c>
      <c r="L63" s="24">
        <f t="shared" si="134"/>
        <v>1254</v>
      </c>
      <c r="M63" s="24">
        <f t="shared" si="134"/>
        <v>1628</v>
      </c>
      <c r="N63" s="24">
        <f>N3+N9+N15+N21+N27+N33+N39+N39+N45+N51+N57</f>
        <v>4973</v>
      </c>
      <c r="O63" s="24">
        <f t="shared" ref="O63:R63" si="135">O3+O9+O15+O21+O27+O33+O39+O39+O45+O51+O57</f>
        <v>24615.360000000001</v>
      </c>
      <c r="P63" s="24">
        <f t="shared" si="135"/>
        <v>31015.353599999999</v>
      </c>
      <c r="Q63" s="24">
        <f t="shared" si="135"/>
        <v>39079.345536000001</v>
      </c>
      <c r="R63" s="24">
        <f t="shared" si="135"/>
        <v>49239.975375360002</v>
      </c>
      <c r="S63" s="24">
        <f>SUM(N63:R63)</f>
        <v>148923.03451135999</v>
      </c>
      <c r="T63" s="27">
        <f>S63/S62</f>
        <v>0.20857042874836096</v>
      </c>
    </row>
    <row r="64" spans="1:20" ht="15.75" thickBot="1" x14ac:dyDescent="0.3">
      <c r="A64" s="19" t="s">
        <v>23</v>
      </c>
      <c r="B64" s="20">
        <f t="shared" ref="B64:M64" si="136">B62-B63</f>
        <v>360</v>
      </c>
      <c r="C64" s="20">
        <f t="shared" si="136"/>
        <v>543</v>
      </c>
      <c r="D64" s="20">
        <f t="shared" si="136"/>
        <v>732</v>
      </c>
      <c r="E64" s="20">
        <f t="shared" si="136"/>
        <v>960</v>
      </c>
      <c r="F64" s="20">
        <f t="shared" si="136"/>
        <v>1227</v>
      </c>
      <c r="G64" s="20">
        <f t="shared" si="136"/>
        <v>1557</v>
      </c>
      <c r="H64" s="20">
        <f t="shared" si="136"/>
        <v>1527</v>
      </c>
      <c r="I64" s="25">
        <f>I62-I63</f>
        <v>2352</v>
      </c>
      <c r="J64" s="20">
        <f t="shared" si="136"/>
        <v>3124</v>
      </c>
      <c r="K64" s="20">
        <f t="shared" si="136"/>
        <v>4046</v>
      </c>
      <c r="L64" s="20">
        <f t="shared" si="136"/>
        <v>4806</v>
      </c>
      <c r="M64" s="20">
        <f t="shared" si="136"/>
        <v>6082</v>
      </c>
      <c r="N64" s="25">
        <f>N62-N63</f>
        <v>27316</v>
      </c>
      <c r="O64" s="25">
        <f t="shared" ref="O64:R64" si="137">O62-O63</f>
        <v>91959.840000000011</v>
      </c>
      <c r="P64" s="25">
        <f t="shared" si="137"/>
        <v>115869.39840000001</v>
      </c>
      <c r="Q64" s="25">
        <f t="shared" si="137"/>
        <v>145995.441984</v>
      </c>
      <c r="R64" s="25">
        <f t="shared" si="137"/>
        <v>183954.25689984002</v>
      </c>
      <c r="S64" s="25">
        <f>SUM(N64:R64)</f>
        <v>565094.93728384003</v>
      </c>
      <c r="T64" s="28">
        <f>S64/S62</f>
        <v>0.79142957125163893</v>
      </c>
    </row>
    <row r="65" ht="15" thickTop="1" x14ac:dyDescent="0.2"/>
  </sheetData>
  <pageMargins left="0.7" right="0.7" top="0.75" bottom="0.75" header="0.3" footer="0.3"/>
  <pageSetup paperSize="9" orientation="portrait" horizontalDpi="0" verticalDpi="0" r:id="rId1"/>
  <ignoredErrors>
    <ignoredError sqref="N2:O2 N8:N9 N11:N14 N53:N55 N47:N50 N35:N37 N17:N19 N59 N56:R58 N41:N43 N38:N40 N44 N23:N25 N29:N31 N20:N22 N32 N26:N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1E58-0CF9-4092-A647-21A653126F04}">
  <dimension ref="A1:T23"/>
  <sheetViews>
    <sheetView rightToLeft="1" workbookViewId="0">
      <selection activeCell="J3" sqref="J3"/>
    </sheetView>
  </sheetViews>
  <sheetFormatPr defaultRowHeight="14.25" outlineLevelCol="1" x14ac:dyDescent="0.2"/>
  <cols>
    <col min="1" max="1" width="24.875" style="3" bestFit="1" customWidth="1"/>
    <col min="2" max="2" width="10.375" customWidth="1" outlineLevel="1"/>
    <col min="3" max="6" width="9.375" customWidth="1" outlineLevel="1"/>
    <col min="7" max="13" width="10.375" customWidth="1" outlineLevel="1"/>
    <col min="14" max="18" width="11.375" bestFit="1" customWidth="1"/>
    <col min="19" max="19" width="12.75" bestFit="1" customWidth="1"/>
    <col min="20" max="20" width="4.5" bestFit="1" customWidth="1"/>
  </cols>
  <sheetData>
    <row r="1" spans="1:20" s="1" customFormat="1" ht="16.5" thickTop="1" thickBot="1" x14ac:dyDescent="0.3">
      <c r="A1" s="37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35">
        <v>12</v>
      </c>
      <c r="N1" s="53" t="s">
        <v>1</v>
      </c>
      <c r="O1" s="53" t="s">
        <v>2</v>
      </c>
      <c r="P1" s="53" t="s">
        <v>3</v>
      </c>
      <c r="Q1" s="53" t="s">
        <v>4</v>
      </c>
      <c r="R1" s="53" t="s">
        <v>5</v>
      </c>
      <c r="S1" s="53" t="s">
        <v>14</v>
      </c>
      <c r="T1" s="53" t="s">
        <v>96</v>
      </c>
    </row>
    <row r="2" spans="1:20" ht="15" thickTop="1" x14ac:dyDescent="0.2">
      <c r="A2" s="39" t="s">
        <v>24</v>
      </c>
      <c r="B2" s="30">
        <f>'الإيرادات و التكاليف المباشرة'!B62</f>
        <v>390</v>
      </c>
      <c r="C2" s="30">
        <f>'الإيرادات و التكاليف المباشرة'!C62</f>
        <v>582</v>
      </c>
      <c r="D2" s="30">
        <f>'الإيرادات و التكاليف المباشرة'!D62</f>
        <v>783</v>
      </c>
      <c r="E2" s="30">
        <f>'الإيرادات و التكاليف المباشرة'!E62</f>
        <v>1026</v>
      </c>
      <c r="F2" s="30">
        <f>'الإيرادات و التكاليف المباشرة'!F62</f>
        <v>1311</v>
      </c>
      <c r="G2" s="30">
        <f>'الإيرادات و التكاليف المباشرة'!G62</f>
        <v>1668</v>
      </c>
      <c r="H2" s="30">
        <f>'الإيرادات و التكاليف المباشرة'!H62</f>
        <v>1662</v>
      </c>
      <c r="I2" s="30">
        <f>'الإيرادات و التكاليف المباشرة'!I62</f>
        <v>2514</v>
      </c>
      <c r="J2" s="30">
        <f>'الإيرادات و التكاليف المباشرة'!J62</f>
        <v>3648</v>
      </c>
      <c r="K2" s="30">
        <f>'الإيرادات و التكاليف المباشرة'!K62</f>
        <v>4935</v>
      </c>
      <c r="L2" s="30">
        <f>'الإيرادات و التكاليف المباشرة'!L62</f>
        <v>6060</v>
      </c>
      <c r="M2" s="36">
        <f>'الإيرادات و التكاليف المباشرة'!M62</f>
        <v>7710</v>
      </c>
      <c r="N2" s="52">
        <f>'الإيرادات و التكاليف المباشرة'!N62</f>
        <v>32289</v>
      </c>
      <c r="O2" s="52">
        <f>'الإيرادات و التكاليف المباشرة'!O62</f>
        <v>116575.20000000001</v>
      </c>
      <c r="P2" s="52">
        <f>'الإيرادات و التكاليف المباشرة'!P62</f>
        <v>146884.75200000001</v>
      </c>
      <c r="Q2" s="52">
        <f>'الإيرادات و التكاليف المباشرة'!Q62</f>
        <v>185074.78752000001</v>
      </c>
      <c r="R2" s="52">
        <f>'الإيرادات و التكاليف المباشرة'!R62</f>
        <v>233194.23227520002</v>
      </c>
      <c r="S2" s="52">
        <f>'الإيرادات و التكاليف المباشرة'!S62</f>
        <v>714017.97179520014</v>
      </c>
      <c r="T2" s="93"/>
    </row>
    <row r="3" spans="1:20" x14ac:dyDescent="0.2">
      <c r="A3" s="39" t="s">
        <v>6</v>
      </c>
      <c r="B3" s="30">
        <f>'الإيرادات و التكاليف المباشرة'!B63</f>
        <v>30</v>
      </c>
      <c r="C3" s="30">
        <f>'الإيرادات و التكاليف المباشرة'!C63</f>
        <v>39</v>
      </c>
      <c r="D3" s="30">
        <f>'الإيرادات و التكاليف المباشرة'!D63</f>
        <v>51</v>
      </c>
      <c r="E3" s="30">
        <f>'الإيرادات و التكاليف المباشرة'!E63</f>
        <v>66</v>
      </c>
      <c r="F3" s="30">
        <f>'الإيرادات و التكاليف المباشرة'!F63</f>
        <v>84</v>
      </c>
      <c r="G3" s="30">
        <f>'الإيرادات و التكاليف المباشرة'!G63</f>
        <v>111</v>
      </c>
      <c r="H3" s="30">
        <f>'الإيرادات و التكاليف المباشرة'!H63</f>
        <v>135</v>
      </c>
      <c r="I3" s="30">
        <f>'الإيرادات و التكاليف المباشرة'!I63</f>
        <v>162</v>
      </c>
      <c r="J3" s="30">
        <f>'الإيرادات و التكاليف المباشرة'!J63</f>
        <v>524</v>
      </c>
      <c r="K3" s="30">
        <f>'الإيرادات و التكاليف المباشرة'!K63</f>
        <v>889</v>
      </c>
      <c r="L3" s="30">
        <f>'الإيرادات و التكاليف المباشرة'!L63</f>
        <v>1254</v>
      </c>
      <c r="M3" s="36">
        <f>'الإيرادات و التكاليف المباشرة'!M63</f>
        <v>1628</v>
      </c>
      <c r="N3" s="48">
        <f>'الإيرادات و التكاليف المباشرة'!N63</f>
        <v>4973</v>
      </c>
      <c r="O3" s="48">
        <f>'الإيرادات و التكاليف المباشرة'!O63</f>
        <v>24615.360000000001</v>
      </c>
      <c r="P3" s="48">
        <f>'الإيرادات و التكاليف المباشرة'!P63</f>
        <v>31015.353599999999</v>
      </c>
      <c r="Q3" s="48">
        <f>'الإيرادات و التكاليف المباشرة'!Q63</f>
        <v>39079.345536000001</v>
      </c>
      <c r="R3" s="48">
        <f>'الإيرادات و التكاليف المباشرة'!R63</f>
        <v>49239.975375360002</v>
      </c>
      <c r="S3" s="48">
        <f>'الإيرادات و التكاليف المباشرة'!S63</f>
        <v>148923.03451135999</v>
      </c>
      <c r="T3" s="92"/>
    </row>
    <row r="4" spans="1:20" ht="15" x14ac:dyDescent="0.25">
      <c r="A4" s="39" t="s">
        <v>23</v>
      </c>
      <c r="B4" s="30">
        <f>'الإيرادات و التكاليف المباشرة'!B64</f>
        <v>360</v>
      </c>
      <c r="C4" s="30">
        <f>'الإيرادات و التكاليف المباشرة'!C64</f>
        <v>543</v>
      </c>
      <c r="D4" s="30">
        <f>'الإيرادات و التكاليف المباشرة'!D64</f>
        <v>732</v>
      </c>
      <c r="E4" s="30">
        <f>'الإيرادات و التكاليف المباشرة'!E64</f>
        <v>960</v>
      </c>
      <c r="F4" s="30">
        <f>'الإيرادات و التكاليف المباشرة'!F64</f>
        <v>1227</v>
      </c>
      <c r="G4" s="30">
        <f>'الإيرادات و التكاليف المباشرة'!G64</f>
        <v>1557</v>
      </c>
      <c r="H4" s="30">
        <f>'الإيرادات و التكاليف المباشرة'!H64</f>
        <v>1527</v>
      </c>
      <c r="I4" s="30">
        <f>'الإيرادات و التكاليف المباشرة'!I64</f>
        <v>2352</v>
      </c>
      <c r="J4" s="30">
        <f>'الإيرادات و التكاليف المباشرة'!J64</f>
        <v>3124</v>
      </c>
      <c r="K4" s="30">
        <f>'الإيرادات و التكاليف المباشرة'!K64</f>
        <v>4046</v>
      </c>
      <c r="L4" s="30">
        <f>'الإيرادات و التكاليف المباشرة'!L64</f>
        <v>4806</v>
      </c>
      <c r="M4" s="36">
        <f>'الإيرادات و التكاليف المباشرة'!M64</f>
        <v>6082</v>
      </c>
      <c r="N4" s="48">
        <f>'الإيرادات و التكاليف المباشرة'!N64</f>
        <v>27316</v>
      </c>
      <c r="O4" s="48">
        <f>'الإيرادات و التكاليف المباشرة'!O64</f>
        <v>91959.840000000011</v>
      </c>
      <c r="P4" s="48">
        <f>'الإيرادات و التكاليف المباشرة'!P64</f>
        <v>115869.39840000001</v>
      </c>
      <c r="Q4" s="48">
        <f>'الإيرادات و التكاليف المباشرة'!Q64</f>
        <v>145995.441984</v>
      </c>
      <c r="R4" s="48">
        <f>'الإيرادات و التكاليف المباشرة'!R64</f>
        <v>183954.25689984002</v>
      </c>
      <c r="S4" s="48">
        <f>'الإيرادات و التكاليف المباشرة'!S64</f>
        <v>565094.93728384003</v>
      </c>
      <c r="T4" s="94">
        <f>S4/S2</f>
        <v>0.79142957125163893</v>
      </c>
    </row>
    <row r="5" spans="1:20" x14ac:dyDescent="0.2">
      <c r="A5" s="39" t="s">
        <v>25</v>
      </c>
      <c r="B5" s="30">
        <f>الإفتراضات!$B$8</f>
        <v>1417</v>
      </c>
      <c r="C5" s="30">
        <f>الإفتراضات!$B$8</f>
        <v>1417</v>
      </c>
      <c r="D5" s="30">
        <f>الإفتراضات!$B$8</f>
        <v>1417</v>
      </c>
      <c r="E5" s="30">
        <f>الإفتراضات!$B$8</f>
        <v>1417</v>
      </c>
      <c r="F5" s="30">
        <f>الإفتراضات!$B$8</f>
        <v>1417</v>
      </c>
      <c r="G5" s="30">
        <f>الإفتراضات!$B$8</f>
        <v>1417</v>
      </c>
      <c r="H5" s="30">
        <f>الإفتراضات!$B$8</f>
        <v>1417</v>
      </c>
      <c r="I5" s="30">
        <f>الإفتراضات!$B$8</f>
        <v>1417</v>
      </c>
      <c r="J5" s="30">
        <f>الإفتراضات!$B$8</f>
        <v>1417</v>
      </c>
      <c r="K5" s="30">
        <f>الإفتراضات!$B$8</f>
        <v>1417</v>
      </c>
      <c r="L5" s="30">
        <f>الإفتراضات!$B$8</f>
        <v>1417</v>
      </c>
      <c r="M5" s="36">
        <f>الإفتراضات!$B$8</f>
        <v>1417</v>
      </c>
      <c r="N5" s="50">
        <f>SUM(B5:M5)</f>
        <v>17004</v>
      </c>
      <c r="O5" s="50">
        <f>M5*12*(1+الإفتراضات!$B$3)</f>
        <v>17854.2</v>
      </c>
      <c r="P5" s="50">
        <f>O5*(1+الإفتراضات!$B$3)</f>
        <v>18746.91</v>
      </c>
      <c r="Q5" s="50">
        <f>P5*(1+الإفتراضات!$B$3)</f>
        <v>19684.255499999999</v>
      </c>
      <c r="R5" s="50">
        <f>Q5*(1+الإفتراضات!$B$3)</f>
        <v>20668.468274999999</v>
      </c>
      <c r="S5" s="50">
        <f t="shared" ref="S5:S11" si="0">SUM(N5:R5)</f>
        <v>93957.833775000006</v>
      </c>
      <c r="T5" s="92"/>
    </row>
    <row r="6" spans="1:20" x14ac:dyDescent="0.2">
      <c r="A6" s="39" t="s">
        <v>26</v>
      </c>
      <c r="B6" s="30">
        <f>الإفتراضات!$B$9</f>
        <v>0</v>
      </c>
      <c r="C6" s="30">
        <f>الإفتراضات!$B$9</f>
        <v>0</v>
      </c>
      <c r="D6" s="30">
        <f>الإفتراضات!$B$9</f>
        <v>0</v>
      </c>
      <c r="E6" s="30">
        <f>الإفتراضات!$B$9</f>
        <v>0</v>
      </c>
      <c r="F6" s="30">
        <f>الإفتراضات!$B$9</f>
        <v>0</v>
      </c>
      <c r="G6" s="30">
        <f>الإفتراضات!$B$9</f>
        <v>0</v>
      </c>
      <c r="H6" s="30">
        <f>الإفتراضات!$B$9</f>
        <v>0</v>
      </c>
      <c r="I6" s="30">
        <f>الإفتراضات!$B$9</f>
        <v>0</v>
      </c>
      <c r="J6" s="30">
        <f>الإفتراضات!$B$9</f>
        <v>0</v>
      </c>
      <c r="K6" s="30">
        <f>الإفتراضات!$B$9</f>
        <v>0</v>
      </c>
      <c r="L6" s="30">
        <f>الإفتراضات!$B$9</f>
        <v>0</v>
      </c>
      <c r="M6" s="36">
        <f>الإفتراضات!$B$9</f>
        <v>0</v>
      </c>
      <c r="N6" s="50">
        <f t="shared" ref="N6:N14" si="1">SUM(B6:M6)</f>
        <v>0</v>
      </c>
      <c r="O6" s="50">
        <f>M6*12*(1+الإفتراضات!$B$3)</f>
        <v>0</v>
      </c>
      <c r="P6" s="50">
        <f>O6*(1+الإفتراضات!$B$3)</f>
        <v>0</v>
      </c>
      <c r="Q6" s="50">
        <f>P6*(1+الإفتراضات!$B$3)</f>
        <v>0</v>
      </c>
      <c r="R6" s="50">
        <f>Q6*(1+الإفتراضات!$B$3)</f>
        <v>0</v>
      </c>
      <c r="S6" s="50">
        <f t="shared" si="0"/>
        <v>0</v>
      </c>
      <c r="T6" s="92"/>
    </row>
    <row r="7" spans="1:20" x14ac:dyDescent="0.2">
      <c r="A7" s="39" t="s">
        <v>27</v>
      </c>
      <c r="B7" s="30">
        <f>الإفتراضات!$B$10</f>
        <v>0</v>
      </c>
      <c r="C7" s="30">
        <f>الإفتراضات!$B$10</f>
        <v>0</v>
      </c>
      <c r="D7" s="30">
        <f>الإفتراضات!$B$10</f>
        <v>0</v>
      </c>
      <c r="E7" s="30">
        <f>الإفتراضات!$B$10</f>
        <v>0</v>
      </c>
      <c r="F7" s="30">
        <f>الإفتراضات!$B$10</f>
        <v>0</v>
      </c>
      <c r="G7" s="30">
        <f>الإفتراضات!$B$10</f>
        <v>0</v>
      </c>
      <c r="H7" s="30">
        <f>الإفتراضات!$B$10</f>
        <v>0</v>
      </c>
      <c r="I7" s="30">
        <f>الإفتراضات!$B$10</f>
        <v>0</v>
      </c>
      <c r="J7" s="30">
        <f>الإفتراضات!$B$10</f>
        <v>0</v>
      </c>
      <c r="K7" s="30">
        <f>الإفتراضات!$B$10</f>
        <v>0</v>
      </c>
      <c r="L7" s="30">
        <f>الإفتراضات!$B$10</f>
        <v>0</v>
      </c>
      <c r="M7" s="30">
        <f>الإفتراضات!$B$10</f>
        <v>0</v>
      </c>
      <c r="N7" s="50">
        <f t="shared" si="1"/>
        <v>0</v>
      </c>
      <c r="O7" s="50">
        <f>M7*12*(1+الإفتراضات!$B$3)</f>
        <v>0</v>
      </c>
      <c r="P7" s="50">
        <f>O7*(1+الإفتراضات!$B$3)</f>
        <v>0</v>
      </c>
      <c r="Q7" s="50">
        <f>P7*(1+الإفتراضات!$B$3)</f>
        <v>0</v>
      </c>
      <c r="R7" s="50">
        <f>Q7*(1+الإفتراضات!$B$3)</f>
        <v>0</v>
      </c>
      <c r="S7" s="50">
        <f t="shared" si="0"/>
        <v>0</v>
      </c>
      <c r="T7" s="92"/>
    </row>
    <row r="8" spans="1:20" x14ac:dyDescent="0.2">
      <c r="A8" s="39" t="s">
        <v>28</v>
      </c>
      <c r="B8" s="30">
        <f>الإفتراضات!$B$11</f>
        <v>532</v>
      </c>
      <c r="C8" s="30">
        <f>الإفتراضات!$B$11</f>
        <v>532</v>
      </c>
      <c r="D8" s="30">
        <f>الإفتراضات!$B$11</f>
        <v>532</v>
      </c>
      <c r="E8" s="30">
        <f>الإفتراضات!$B$11</f>
        <v>532</v>
      </c>
      <c r="F8" s="30">
        <f>الإفتراضات!$B$11</f>
        <v>532</v>
      </c>
      <c r="G8" s="30">
        <f>الإفتراضات!$B$11</f>
        <v>532</v>
      </c>
      <c r="H8" s="30">
        <f>الإفتراضات!$B$11</f>
        <v>532</v>
      </c>
      <c r="I8" s="30">
        <f>الإفتراضات!$B$11</f>
        <v>532</v>
      </c>
      <c r="J8" s="30">
        <f>الإفتراضات!$B$11</f>
        <v>532</v>
      </c>
      <c r="K8" s="30">
        <f>الإفتراضات!$B$11</f>
        <v>532</v>
      </c>
      <c r="L8" s="30">
        <f>الإفتراضات!$B$11</f>
        <v>532</v>
      </c>
      <c r="M8" s="30">
        <f>الإفتراضات!$B$11</f>
        <v>532</v>
      </c>
      <c r="N8" s="50">
        <f t="shared" si="1"/>
        <v>6384</v>
      </c>
      <c r="O8" s="50">
        <f>M8*12*(1+الإفتراضات!$B$3)</f>
        <v>6703.2000000000007</v>
      </c>
      <c r="P8" s="50">
        <f>O8*(1+الإفتراضات!$B$3)</f>
        <v>7038.3600000000015</v>
      </c>
      <c r="Q8" s="50">
        <f>P8*(1+الإفتراضات!$B$3)</f>
        <v>7390.2780000000021</v>
      </c>
      <c r="R8" s="50">
        <f>Q8*(1+الإفتراضات!$B$3)</f>
        <v>7759.7919000000029</v>
      </c>
      <c r="S8" s="50">
        <f t="shared" si="0"/>
        <v>35275.629900000007</v>
      </c>
      <c r="T8" s="92"/>
    </row>
    <row r="9" spans="1:20" x14ac:dyDescent="0.2">
      <c r="A9" s="106" t="s">
        <v>29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50">
        <f t="shared" si="1"/>
        <v>0</v>
      </c>
      <c r="O9" s="48">
        <v>0</v>
      </c>
      <c r="P9" s="48">
        <v>0</v>
      </c>
      <c r="Q9" s="48">
        <v>0</v>
      </c>
      <c r="R9" s="48">
        <v>400</v>
      </c>
      <c r="S9" s="50">
        <v>0</v>
      </c>
      <c r="T9" s="92"/>
    </row>
    <row r="10" spans="1:20" x14ac:dyDescent="0.2">
      <c r="A10" s="39" t="s">
        <v>30</v>
      </c>
      <c r="B10" s="30">
        <v>133</v>
      </c>
      <c r="C10" s="30">
        <v>133</v>
      </c>
      <c r="D10" s="30">
        <v>133</v>
      </c>
      <c r="E10" s="30">
        <v>133</v>
      </c>
      <c r="F10" s="30">
        <v>133</v>
      </c>
      <c r="G10" s="30">
        <v>133</v>
      </c>
      <c r="H10" s="30">
        <v>133</v>
      </c>
      <c r="I10" s="30">
        <v>133</v>
      </c>
      <c r="J10" s="30">
        <v>133</v>
      </c>
      <c r="K10" s="30">
        <v>133</v>
      </c>
      <c r="L10" s="30">
        <v>133</v>
      </c>
      <c r="M10" s="30">
        <v>133</v>
      </c>
      <c r="N10" s="50">
        <f t="shared" si="1"/>
        <v>1596</v>
      </c>
      <c r="O10" s="50">
        <f>M10*12*(1+الإفتراضات!$B$3)</f>
        <v>1675.8000000000002</v>
      </c>
      <c r="P10" s="50">
        <f>O10*(1+الإفتراضات!$B$3)</f>
        <v>1759.5900000000004</v>
      </c>
      <c r="Q10" s="50">
        <f>P10*(1+الإفتراضات!$B$3)</f>
        <v>1847.5695000000005</v>
      </c>
      <c r="R10" s="50">
        <f>Q10*(1+الإفتراضات!$B$3)</f>
        <v>1939.9479750000007</v>
      </c>
      <c r="S10" s="50">
        <f t="shared" si="0"/>
        <v>8818.9074750000018</v>
      </c>
      <c r="T10" s="92"/>
    </row>
    <row r="11" spans="1:20" x14ac:dyDescent="0.2">
      <c r="A11" s="39" t="s">
        <v>89</v>
      </c>
      <c r="B11" s="30">
        <v>1418</v>
      </c>
      <c r="C11" s="30">
        <v>1418</v>
      </c>
      <c r="D11" s="30">
        <v>1418</v>
      </c>
      <c r="E11" s="30">
        <v>1418</v>
      </c>
      <c r="F11" s="30">
        <v>1418</v>
      </c>
      <c r="G11" s="30">
        <v>1418</v>
      </c>
      <c r="H11" s="30">
        <v>1418</v>
      </c>
      <c r="I11" s="30">
        <v>1418</v>
      </c>
      <c r="J11" s="30">
        <v>1418</v>
      </c>
      <c r="K11" s="30">
        <v>1418</v>
      </c>
      <c r="L11" s="30">
        <v>1418</v>
      </c>
      <c r="M11" s="30">
        <v>1418</v>
      </c>
      <c r="N11" s="50">
        <v>17016</v>
      </c>
      <c r="O11" s="31">
        <v>17016</v>
      </c>
      <c r="P11" s="48">
        <v>25524</v>
      </c>
      <c r="Q11" s="48">
        <v>34032</v>
      </c>
      <c r="R11" s="48">
        <v>42540</v>
      </c>
      <c r="S11" s="50">
        <f t="shared" si="0"/>
        <v>136128</v>
      </c>
      <c r="T11" s="92"/>
    </row>
    <row r="12" spans="1:20" ht="15" thickBot="1" x14ac:dyDescent="0.25">
      <c r="A12" s="39" t="s">
        <v>31</v>
      </c>
      <c r="B12" s="30">
        <v>360</v>
      </c>
      <c r="C12" s="30">
        <v>468</v>
      </c>
      <c r="D12" s="30">
        <v>612</v>
      </c>
      <c r="E12" s="30">
        <v>780</v>
      </c>
      <c r="F12" s="30">
        <f t="shared" ref="F12:S12" si="2">F4-F11</f>
        <v>-191</v>
      </c>
      <c r="G12" s="30">
        <v>972</v>
      </c>
      <c r="H12" s="30">
        <v>1212</v>
      </c>
      <c r="I12" s="20">
        <v>1782</v>
      </c>
      <c r="J12" s="20">
        <v>2404</v>
      </c>
      <c r="K12" s="30">
        <v>3146</v>
      </c>
      <c r="L12" s="30">
        <v>3996</v>
      </c>
      <c r="M12" s="30">
        <v>5032</v>
      </c>
      <c r="N12" s="50">
        <f t="shared" si="1"/>
        <v>20573</v>
      </c>
      <c r="O12" s="31">
        <f t="shared" si="2"/>
        <v>74943.840000000011</v>
      </c>
      <c r="P12" s="48">
        <f t="shared" si="2"/>
        <v>90345.398400000005</v>
      </c>
      <c r="Q12" s="48">
        <f t="shared" si="2"/>
        <v>111963.441984</v>
      </c>
      <c r="R12" s="48">
        <f t="shared" si="2"/>
        <v>141414.25689984002</v>
      </c>
      <c r="S12" s="48">
        <f t="shared" si="2"/>
        <v>428966.93728384003</v>
      </c>
      <c r="T12" s="92"/>
    </row>
    <row r="13" spans="1:20" ht="15" thickTop="1" x14ac:dyDescent="0.2">
      <c r="A13" s="39" t="s">
        <v>32</v>
      </c>
      <c r="B13" s="30">
        <f>B12*الإفتراضات!$B$6</f>
        <v>90</v>
      </c>
      <c r="C13" s="30">
        <f>C12*الإفتراضات!$B$6</f>
        <v>117</v>
      </c>
      <c r="D13" s="30">
        <f>D12*الإفتراضات!$B$6</f>
        <v>153</v>
      </c>
      <c r="E13" s="30">
        <f>E12*الإفتراضات!$B$6</f>
        <v>195</v>
      </c>
      <c r="F13" s="30">
        <f>F12*الإفتراضات!$B$6</f>
        <v>-47.75</v>
      </c>
      <c r="G13" s="30">
        <f>G12*الإفتراضات!$B$6</f>
        <v>243</v>
      </c>
      <c r="H13" s="30">
        <f>H12*الإفتراضات!$B$6</f>
        <v>303</v>
      </c>
      <c r="I13" s="30">
        <f>I12*الإفتراضات!$B$6</f>
        <v>445.5</v>
      </c>
      <c r="J13" s="30">
        <f>J12*الإفتراضات!$B$6</f>
        <v>601</v>
      </c>
      <c r="K13" s="30">
        <f>K12*الإفتراضات!$B$6</f>
        <v>786.5</v>
      </c>
      <c r="L13" s="30">
        <f>L12*الإفتراضات!$B$6</f>
        <v>999</v>
      </c>
      <c r="M13" s="31">
        <f>M12*الإفتراضات!$B$6</f>
        <v>1258</v>
      </c>
      <c r="N13" s="50">
        <f t="shared" si="1"/>
        <v>5143.25</v>
      </c>
      <c r="O13" s="31">
        <f>O12*الإفتراضات!$B$6</f>
        <v>18735.960000000003</v>
      </c>
      <c r="P13" s="48">
        <f>P12*الإفتراضات!$B$6</f>
        <v>22586.349600000001</v>
      </c>
      <c r="Q13" s="48">
        <f>Q12*الإفتراضات!$B$6</f>
        <v>27990.860496000001</v>
      </c>
      <c r="R13" s="48">
        <f>R12*الإفتراضات!$B$6</f>
        <v>35353.564224960006</v>
      </c>
      <c r="S13" s="50">
        <f>SUM(N13:R13)</f>
        <v>109809.98432096002</v>
      </c>
      <c r="T13" s="92"/>
    </row>
    <row r="14" spans="1:20" ht="15.75" thickBot="1" x14ac:dyDescent="0.3">
      <c r="A14" s="39" t="s">
        <v>33</v>
      </c>
      <c r="B14" s="62">
        <f>B12-B13</f>
        <v>270</v>
      </c>
      <c r="C14" s="62">
        <f t="shared" ref="C14:S14" si="3">C12-C13</f>
        <v>351</v>
      </c>
      <c r="D14" s="62">
        <v>490</v>
      </c>
      <c r="E14" s="62">
        <f t="shared" si="3"/>
        <v>585</v>
      </c>
      <c r="F14" s="62">
        <f t="shared" si="3"/>
        <v>-143.25</v>
      </c>
      <c r="G14" s="62">
        <f t="shared" si="3"/>
        <v>729</v>
      </c>
      <c r="H14" s="62">
        <f t="shared" si="3"/>
        <v>909</v>
      </c>
      <c r="I14" s="62">
        <f t="shared" si="3"/>
        <v>1336.5</v>
      </c>
      <c r="J14" s="62">
        <f t="shared" si="3"/>
        <v>1803</v>
      </c>
      <c r="K14" s="62">
        <f t="shared" si="3"/>
        <v>2359.5</v>
      </c>
      <c r="L14" s="62">
        <f t="shared" si="3"/>
        <v>2997</v>
      </c>
      <c r="M14" s="63">
        <f t="shared" si="3"/>
        <v>3774</v>
      </c>
      <c r="N14" s="51">
        <f t="shared" si="1"/>
        <v>15460.75</v>
      </c>
      <c r="O14" s="57">
        <f t="shared" si="3"/>
        <v>56207.880000000005</v>
      </c>
      <c r="P14" s="57">
        <f t="shared" si="3"/>
        <v>67759.048800000004</v>
      </c>
      <c r="Q14" s="57">
        <f t="shared" si="3"/>
        <v>83972.581487999996</v>
      </c>
      <c r="R14" s="57">
        <f t="shared" si="3"/>
        <v>106060.69267488002</v>
      </c>
      <c r="S14" s="57">
        <f t="shared" si="3"/>
        <v>319156.95296288002</v>
      </c>
      <c r="T14" s="95">
        <f>S14/S2</f>
        <v>0.44698728263162396</v>
      </c>
    </row>
    <row r="15" spans="1:20" ht="16.5" thickTop="1" thickBot="1" x14ac:dyDescent="0.3">
      <c r="A15" s="43" t="s">
        <v>97</v>
      </c>
      <c r="B15" s="77">
        <f>B14</f>
        <v>270</v>
      </c>
      <c r="C15" s="77">
        <f>B15+C14</f>
        <v>621</v>
      </c>
      <c r="D15" s="77">
        <f>C15+D14</f>
        <v>1111</v>
      </c>
      <c r="E15" s="77">
        <f t="shared" ref="E15:M15" si="4">D15+E14</f>
        <v>1696</v>
      </c>
      <c r="F15" s="77">
        <f t="shared" si="4"/>
        <v>1552.75</v>
      </c>
      <c r="G15" s="77">
        <f t="shared" si="4"/>
        <v>2281.75</v>
      </c>
      <c r="H15" s="77">
        <f t="shared" si="4"/>
        <v>3190.75</v>
      </c>
      <c r="I15" s="77">
        <f t="shared" si="4"/>
        <v>4527.25</v>
      </c>
      <c r="J15" s="77">
        <f t="shared" si="4"/>
        <v>6330.25</v>
      </c>
      <c r="K15" s="77">
        <f t="shared" si="4"/>
        <v>8689.75</v>
      </c>
      <c r="L15" s="77">
        <f t="shared" si="4"/>
        <v>11686.75</v>
      </c>
      <c r="M15" s="99">
        <f t="shared" si="4"/>
        <v>15460.75</v>
      </c>
      <c r="N15" s="100">
        <f>M15</f>
        <v>15460.75</v>
      </c>
      <c r="O15" s="101">
        <f>N15+O14</f>
        <v>71668.63</v>
      </c>
      <c r="P15" s="101">
        <f t="shared" ref="P15:R15" si="5">O15+P14</f>
        <v>139427.67879999999</v>
      </c>
      <c r="Q15" s="101">
        <f t="shared" si="5"/>
        <v>223400.26028799999</v>
      </c>
      <c r="R15" s="101">
        <f t="shared" si="5"/>
        <v>329460.95296288002</v>
      </c>
      <c r="S15" s="57"/>
      <c r="T15" s="97"/>
    </row>
    <row r="16" spans="1:20" ht="16.5" thickTop="1" thickBot="1" x14ac:dyDescent="0.3">
      <c r="A16" s="98" t="s">
        <v>88</v>
      </c>
      <c r="N16" s="102">
        <f>N14/(1+الإفتراضات!$B$4)</f>
        <v>12883.958333333334</v>
      </c>
      <c r="O16" s="102">
        <f>O14/((1+الإفتراضات!$B$4)*(1+الإفتراضات!$B$4))</f>
        <v>39033.250000000007</v>
      </c>
      <c r="P16" s="102">
        <f>P14/((1+الإفتراضات!$B$4)*(1+الإفتراضات!$B$4)*(1+الإفتراضات!$B$4))</f>
        <v>39212.412500000006</v>
      </c>
      <c r="Q16" s="102">
        <f>Q14/((1+الإفتراضات!$B$4)*(1+الإفتراضات!$B$4)*(1+الإفتراضات!$B$4)*(1+الإفتراضات!$B$4))</f>
        <v>40496.036597222221</v>
      </c>
      <c r="R16" s="102">
        <f>R14/((1+الإفتراضات!$B$4)*(1+الإفتراضات!$B$4)*(1+الإفتراضات!$B$4)*(1+الإفتراضات!$B$4)*(1+الإفتراضات!$B$4))</f>
        <v>42623.413658564823</v>
      </c>
      <c r="S16" s="57">
        <f>SUM(N16:R16)</f>
        <v>174249.07108912038</v>
      </c>
      <c r="T16" s="96">
        <f>S16/S2</f>
        <v>0.24404017541886155</v>
      </c>
    </row>
    <row r="17" spans="1:19" ht="15.75" thickTop="1" thickBot="1" x14ac:dyDescent="0.25"/>
    <row r="18" spans="1:19" ht="15.75" thickTop="1" x14ac:dyDescent="0.25">
      <c r="A18" s="7" t="s">
        <v>51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76">
        <f>N16/N2</f>
        <v>0.39902004810719854</v>
      </c>
      <c r="O18" s="76">
        <f t="shared" ref="O18:R18" si="6">O16/O2</f>
        <v>0.33483322353296419</v>
      </c>
      <c r="P18" s="76">
        <f t="shared" si="6"/>
        <v>0.26696040239765667</v>
      </c>
      <c r="Q18" s="76">
        <f t="shared" si="6"/>
        <v>0.2188090400635799</v>
      </c>
      <c r="R18" s="76">
        <f t="shared" si="6"/>
        <v>0.18278073708214002</v>
      </c>
      <c r="S18" s="26">
        <f>S16/S2</f>
        <v>0.24404017541886155</v>
      </c>
    </row>
    <row r="19" spans="1:19" ht="15" x14ac:dyDescent="0.25">
      <c r="A19" s="11" t="s">
        <v>55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75">
        <f>N16/'قائمة التدفق النقدي'!$B$13</f>
        <v>0.51535833333333336</v>
      </c>
      <c r="O19" s="75">
        <f>O16/'قائمة التدفق النقدي'!$B$13</f>
        <v>1.5613300000000003</v>
      </c>
      <c r="P19" s="75">
        <f>P16/'قائمة التدفق النقدي'!$B$13</f>
        <v>1.5684965000000002</v>
      </c>
      <c r="Q19" s="75">
        <f>Q16/'قائمة التدفق النقدي'!$B$13</f>
        <v>1.6198414638888887</v>
      </c>
      <c r="R19" s="75">
        <f>R16/'قائمة التدفق النقدي'!$B$13</f>
        <v>1.704936546342593</v>
      </c>
      <c r="S19" s="27">
        <f>S16/'قائمة التدفق النقدي'!$B$13</f>
        <v>6.9699628435648151</v>
      </c>
    </row>
    <row r="20" spans="1:19" x14ac:dyDescent="0.2">
      <c r="A20" s="11" t="s">
        <v>52</v>
      </c>
      <c r="B20" s="30">
        <f>B11/(B4/B2)</f>
        <v>1536.1666666666665</v>
      </c>
      <c r="C20" s="30">
        <f t="shared" ref="C20:S20" si="7">C11/(C4/C2)</f>
        <v>1519.8453038674033</v>
      </c>
      <c r="D20" s="30">
        <f t="shared" si="7"/>
        <v>1516.795081967213</v>
      </c>
      <c r="E20" s="30">
        <f t="shared" si="7"/>
        <v>1515.4875000000002</v>
      </c>
      <c r="F20" s="30">
        <f t="shared" si="7"/>
        <v>1515.0757946210269</v>
      </c>
      <c r="G20" s="30">
        <f t="shared" si="7"/>
        <v>1519.0905587668594</v>
      </c>
      <c r="H20" s="30">
        <f t="shared" si="7"/>
        <v>1543.3634577603143</v>
      </c>
      <c r="I20" s="30">
        <f t="shared" si="7"/>
        <v>1515.6683673469388</v>
      </c>
      <c r="J20" s="30">
        <f t="shared" si="7"/>
        <v>1655.8463508322664</v>
      </c>
      <c r="K20" s="30">
        <f t="shared" si="7"/>
        <v>1729.567474048443</v>
      </c>
      <c r="L20" s="30">
        <f t="shared" si="7"/>
        <v>1787.9900124843944</v>
      </c>
      <c r="M20" s="30">
        <f t="shared" si="7"/>
        <v>1797.5633015455444</v>
      </c>
      <c r="N20" s="30">
        <f t="shared" si="7"/>
        <v>20113.838922243376</v>
      </c>
      <c r="O20" s="30">
        <f t="shared" si="7"/>
        <v>21570.75961854653</v>
      </c>
      <c r="P20" s="30">
        <f t="shared" si="7"/>
        <v>32356.139427819799</v>
      </c>
      <c r="Q20" s="30">
        <f t="shared" si="7"/>
        <v>43141.51923709306</v>
      </c>
      <c r="R20" s="30">
        <f t="shared" si="7"/>
        <v>53926.899046366321</v>
      </c>
      <c r="S20" s="31">
        <f t="shared" si="7"/>
        <v>172002.67079320116</v>
      </c>
    </row>
    <row r="21" spans="1:19" x14ac:dyDescent="0.2">
      <c r="A21" s="11" t="s">
        <v>53</v>
      </c>
      <c r="B21" s="18">
        <v>2</v>
      </c>
      <c r="C21" s="18" t="s">
        <v>101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</row>
    <row r="22" spans="1:19" ht="15" thickBot="1" x14ac:dyDescent="0.25">
      <c r="A22" s="19" t="s">
        <v>54</v>
      </c>
      <c r="B22" s="33">
        <v>25000</v>
      </c>
      <c r="C22" s="45" t="s">
        <v>100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6"/>
    </row>
    <row r="23" spans="1:19" ht="15" thickTop="1" x14ac:dyDescent="0.2"/>
  </sheetData>
  <pageMargins left="0.7" right="0.7" top="0.75" bottom="0.75" header="0.3" footer="0.3"/>
  <ignoredErrors>
    <ignoredError sqref="N12:N15 S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D6045-E83C-46EA-BE94-E70550BA86BF}">
  <dimension ref="A1:Q19"/>
  <sheetViews>
    <sheetView rightToLeft="1" workbookViewId="0">
      <selection activeCell="B14" sqref="B14"/>
    </sheetView>
  </sheetViews>
  <sheetFormatPr defaultRowHeight="14.25" outlineLevelCol="1" x14ac:dyDescent="0.2"/>
  <cols>
    <col min="1" max="1" width="26.875" bestFit="1" customWidth="1"/>
    <col min="2" max="13" width="8.875" outlineLevel="1"/>
    <col min="14" max="17" width="10.375" bestFit="1" customWidth="1"/>
  </cols>
  <sheetData>
    <row r="1" spans="1:17" s="1" customFormat="1" ht="16.5" thickTop="1" thickBot="1" x14ac:dyDescent="0.3">
      <c r="A1" s="7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40">
        <v>12</v>
      </c>
      <c r="N1" s="72" t="s">
        <v>2</v>
      </c>
      <c r="O1" s="5" t="s">
        <v>3</v>
      </c>
      <c r="P1" s="5" t="s">
        <v>4</v>
      </c>
      <c r="Q1" s="6" t="s">
        <v>5</v>
      </c>
    </row>
    <row r="2" spans="1:17" ht="15.75" thickTop="1" x14ac:dyDescent="0.25">
      <c r="A2" s="78" t="s">
        <v>40</v>
      </c>
      <c r="B2" s="62">
        <f t="shared" ref="B2:Q2" si="0">B3-SUM(B4:B10)</f>
        <v>-2112</v>
      </c>
      <c r="C2" s="62">
        <f t="shared" si="0"/>
        <v>-1731</v>
      </c>
      <c r="D2" s="62">
        <f t="shared" si="0"/>
        <v>-1551</v>
      </c>
      <c r="E2" s="62">
        <f t="shared" si="0"/>
        <v>-1365</v>
      </c>
      <c r="F2" s="62">
        <f t="shared" si="0"/>
        <v>-1140</v>
      </c>
      <c r="G2" s="62">
        <f t="shared" si="0"/>
        <v>-882</v>
      </c>
      <c r="H2" s="62">
        <f t="shared" si="0"/>
        <v>-549</v>
      </c>
      <c r="I2" s="62">
        <f t="shared" si="0"/>
        <v>-582</v>
      </c>
      <c r="J2" s="62">
        <f t="shared" si="0"/>
        <v>-92</v>
      </c>
      <c r="K2" s="62">
        <f t="shared" si="0"/>
        <v>677</v>
      </c>
      <c r="L2" s="62">
        <f t="shared" si="0"/>
        <v>1599</v>
      </c>
      <c r="M2" s="62">
        <f t="shared" si="0"/>
        <v>-2793.25</v>
      </c>
      <c r="N2" s="69">
        <f t="shared" si="0"/>
        <v>41693.880000000005</v>
      </c>
      <c r="O2" s="70">
        <f t="shared" si="0"/>
        <v>57776.548800000004</v>
      </c>
      <c r="P2" s="70">
        <f t="shared" si="0"/>
        <v>76472.756488000014</v>
      </c>
      <c r="Q2" s="71">
        <f t="shared" si="0"/>
        <v>105992.27642488001</v>
      </c>
    </row>
    <row r="3" spans="1:17" x14ac:dyDescent="0.2">
      <c r="A3" s="29" t="s">
        <v>43</v>
      </c>
      <c r="B3" s="30">
        <v>0</v>
      </c>
      <c r="C3" s="30">
        <f>'قائمة الدخل'!B2</f>
        <v>390</v>
      </c>
      <c r="D3" s="30">
        <f>'قائمة الدخل'!C2</f>
        <v>582</v>
      </c>
      <c r="E3" s="30">
        <f>'قائمة الدخل'!D2</f>
        <v>783</v>
      </c>
      <c r="F3" s="30">
        <f>'قائمة الدخل'!E2</f>
        <v>1026</v>
      </c>
      <c r="G3" s="30">
        <f>'قائمة الدخل'!F2</f>
        <v>1311</v>
      </c>
      <c r="H3" s="30">
        <f>'قائمة الدخل'!G2</f>
        <v>1668</v>
      </c>
      <c r="I3" s="30">
        <f>'قائمة الدخل'!H2</f>
        <v>1662</v>
      </c>
      <c r="J3" s="30">
        <f>'قائمة الدخل'!I2</f>
        <v>2514</v>
      </c>
      <c r="K3" s="30">
        <f>'قائمة الدخل'!J2</f>
        <v>3648</v>
      </c>
      <c r="L3" s="30">
        <f>'قائمة الدخل'!K2</f>
        <v>4935</v>
      </c>
      <c r="M3" s="30">
        <f>'قائمة الدخل'!L2</f>
        <v>6060</v>
      </c>
      <c r="N3" s="38">
        <f>'قائمة الدخل'!O2</f>
        <v>116575.20000000001</v>
      </c>
      <c r="O3" s="38">
        <f>'قائمة الدخل'!P2</f>
        <v>146884.75200000001</v>
      </c>
      <c r="P3" s="38">
        <f>'قائمة الدخل'!Q2</f>
        <v>185074.78752000001</v>
      </c>
      <c r="Q3" s="31">
        <f>'قائمة الدخل'!R2</f>
        <v>233194.23227520002</v>
      </c>
    </row>
    <row r="4" spans="1:17" x14ac:dyDescent="0.2">
      <c r="A4" s="29" t="s">
        <v>99</v>
      </c>
      <c r="B4" s="30">
        <f>'قائمة الدخل'!B3</f>
        <v>30</v>
      </c>
      <c r="C4" s="30">
        <f>'قائمة الدخل'!C3</f>
        <v>39</v>
      </c>
      <c r="D4" s="30">
        <f>'قائمة الدخل'!D3</f>
        <v>51</v>
      </c>
      <c r="E4" s="30">
        <f>'قائمة الدخل'!E3</f>
        <v>66</v>
      </c>
      <c r="F4" s="30">
        <f>'قائمة الدخل'!F3</f>
        <v>84</v>
      </c>
      <c r="G4" s="30">
        <f>'قائمة الدخل'!G3</f>
        <v>111</v>
      </c>
      <c r="H4" s="30">
        <f>'قائمة الدخل'!H3</f>
        <v>135</v>
      </c>
      <c r="I4" s="30">
        <f>'قائمة الدخل'!I3</f>
        <v>162</v>
      </c>
      <c r="J4" s="30">
        <f>'قائمة الدخل'!J3</f>
        <v>524</v>
      </c>
      <c r="K4" s="30">
        <f>'قائمة الدخل'!K3</f>
        <v>889</v>
      </c>
      <c r="L4" s="30">
        <f>'قائمة الدخل'!L3</f>
        <v>1254</v>
      </c>
      <c r="M4" s="31">
        <f>'قائمة الدخل'!M3</f>
        <v>1628</v>
      </c>
      <c r="N4" s="38">
        <f>'قائمة الدخل'!O3</f>
        <v>24615.360000000001</v>
      </c>
      <c r="O4" s="30">
        <f>'قائمة الدخل'!P3</f>
        <v>31015.353599999999</v>
      </c>
      <c r="P4" s="30">
        <f>'قائمة الدخل'!Q3</f>
        <v>39079.345536000001</v>
      </c>
      <c r="Q4" s="31">
        <f>'قائمة الدخل'!R3</f>
        <v>49239.975375360002</v>
      </c>
    </row>
    <row r="5" spans="1:17" x14ac:dyDescent="0.2">
      <c r="A5" s="29" t="s">
        <v>25</v>
      </c>
      <c r="B5" s="30">
        <f>'قائمة الدخل'!B5</f>
        <v>1417</v>
      </c>
      <c r="C5" s="30">
        <f>'قائمة الدخل'!C5</f>
        <v>1417</v>
      </c>
      <c r="D5" s="30">
        <f>'قائمة الدخل'!D5</f>
        <v>1417</v>
      </c>
      <c r="E5" s="30">
        <f>'قائمة الدخل'!E5</f>
        <v>1417</v>
      </c>
      <c r="F5" s="30">
        <f>'قائمة الدخل'!F5</f>
        <v>1417</v>
      </c>
      <c r="G5" s="30">
        <f>'قائمة الدخل'!G5</f>
        <v>1417</v>
      </c>
      <c r="H5" s="30">
        <f>'قائمة الدخل'!H5</f>
        <v>1417</v>
      </c>
      <c r="I5" s="30">
        <f>'قائمة الدخل'!I5</f>
        <v>1417</v>
      </c>
      <c r="J5" s="30">
        <f>'قائمة الدخل'!J5</f>
        <v>1417</v>
      </c>
      <c r="K5" s="30">
        <f>'قائمة الدخل'!K5</f>
        <v>1417</v>
      </c>
      <c r="L5" s="30">
        <f>'قائمة الدخل'!L5</f>
        <v>1417</v>
      </c>
      <c r="M5" s="31">
        <f>'قائمة الدخل'!M5</f>
        <v>1417</v>
      </c>
      <c r="N5" s="38">
        <f>'قائمة الدخل'!O5</f>
        <v>17854.2</v>
      </c>
      <c r="O5" s="30">
        <f>'قائمة الدخل'!P5</f>
        <v>18746.91</v>
      </c>
      <c r="P5" s="30">
        <f>'قائمة الدخل'!Q5</f>
        <v>19684.255499999999</v>
      </c>
      <c r="Q5" s="31">
        <f>'قائمة الدخل'!R5</f>
        <v>20668.468274999999</v>
      </c>
    </row>
    <row r="6" spans="1:17" x14ac:dyDescent="0.2">
      <c r="A6" s="29" t="s">
        <v>26</v>
      </c>
      <c r="B6" s="30">
        <f>'قائمة الدخل'!B6</f>
        <v>0</v>
      </c>
      <c r="C6" s="30">
        <f>'قائمة الدخل'!C6</f>
        <v>0</v>
      </c>
      <c r="D6" s="30">
        <f>'قائمة الدخل'!D6</f>
        <v>0</v>
      </c>
      <c r="E6" s="30">
        <f>'قائمة الدخل'!E6</f>
        <v>0</v>
      </c>
      <c r="F6" s="30">
        <f>'قائمة الدخل'!F6</f>
        <v>0</v>
      </c>
      <c r="G6" s="30">
        <f>'قائمة الدخل'!G6</f>
        <v>0</v>
      </c>
      <c r="H6" s="30">
        <f>'قائمة الدخل'!H6</f>
        <v>0</v>
      </c>
      <c r="I6" s="30">
        <f>'قائمة الدخل'!I6</f>
        <v>0</v>
      </c>
      <c r="J6" s="30">
        <f>'قائمة الدخل'!J6</f>
        <v>0</v>
      </c>
      <c r="K6" s="30">
        <f>'قائمة الدخل'!K6</f>
        <v>0</v>
      </c>
      <c r="L6" s="30">
        <f>'قائمة الدخل'!L6</f>
        <v>0</v>
      </c>
      <c r="M6" s="31">
        <f>'قائمة الدخل'!M6</f>
        <v>0</v>
      </c>
      <c r="N6" s="38">
        <f>'قائمة الدخل'!O6</f>
        <v>0</v>
      </c>
      <c r="O6" s="30">
        <f>'قائمة الدخل'!P6</f>
        <v>0</v>
      </c>
      <c r="P6" s="30">
        <f>'قائمة الدخل'!Q6</f>
        <v>0</v>
      </c>
      <c r="Q6" s="31">
        <f>'قائمة الدخل'!R6</f>
        <v>0</v>
      </c>
    </row>
    <row r="7" spans="1:17" x14ac:dyDescent="0.2">
      <c r="A7" s="29" t="s">
        <v>27</v>
      </c>
      <c r="B7" s="30">
        <f>'قائمة الدخل'!B7</f>
        <v>0</v>
      </c>
      <c r="C7" s="30">
        <f>'قائمة الدخل'!C7</f>
        <v>0</v>
      </c>
      <c r="D7" s="30">
        <f>'قائمة الدخل'!D7</f>
        <v>0</v>
      </c>
      <c r="E7" s="30">
        <f>'قائمة الدخل'!E7</f>
        <v>0</v>
      </c>
      <c r="F7" s="30">
        <f>'قائمة الدخل'!F7</f>
        <v>0</v>
      </c>
      <c r="G7" s="30">
        <f>'قائمة الدخل'!G7</f>
        <v>0</v>
      </c>
      <c r="H7" s="30">
        <f>'قائمة الدخل'!H7</f>
        <v>0</v>
      </c>
      <c r="I7" s="30">
        <f>'قائمة الدخل'!I7</f>
        <v>0</v>
      </c>
      <c r="J7" s="30">
        <f>'قائمة الدخل'!J7</f>
        <v>0</v>
      </c>
      <c r="K7" s="30">
        <f>'قائمة الدخل'!K7</f>
        <v>0</v>
      </c>
      <c r="L7" s="30">
        <f>'قائمة الدخل'!L7</f>
        <v>0</v>
      </c>
      <c r="M7" s="31">
        <f>'قائمة الدخل'!M7</f>
        <v>0</v>
      </c>
      <c r="N7" s="38">
        <f>'قائمة الدخل'!O7</f>
        <v>0</v>
      </c>
      <c r="O7" s="30">
        <f>'قائمة الدخل'!P7</f>
        <v>0</v>
      </c>
      <c r="P7" s="30">
        <f>'قائمة الدخل'!Q7</f>
        <v>0</v>
      </c>
      <c r="Q7" s="31">
        <f>'قائمة الدخل'!R7</f>
        <v>0</v>
      </c>
    </row>
    <row r="8" spans="1:17" x14ac:dyDescent="0.2">
      <c r="A8" s="29" t="s">
        <v>44</v>
      </c>
      <c r="B8" s="30">
        <f>'قائمة الدخل'!B8</f>
        <v>532</v>
      </c>
      <c r="C8" s="30">
        <f>'قائمة الدخل'!C8</f>
        <v>532</v>
      </c>
      <c r="D8" s="30">
        <f>'قائمة الدخل'!D8</f>
        <v>532</v>
      </c>
      <c r="E8" s="30">
        <f>'قائمة الدخل'!E8</f>
        <v>532</v>
      </c>
      <c r="F8" s="30">
        <f>'قائمة الدخل'!F8</f>
        <v>532</v>
      </c>
      <c r="G8" s="30">
        <f>'قائمة الدخل'!G8</f>
        <v>532</v>
      </c>
      <c r="H8" s="30">
        <f>'قائمة الدخل'!H8</f>
        <v>532</v>
      </c>
      <c r="I8" s="30">
        <f>'قائمة الدخل'!I8</f>
        <v>532</v>
      </c>
      <c r="J8" s="30">
        <f>'قائمة الدخل'!J8</f>
        <v>532</v>
      </c>
      <c r="K8" s="30">
        <f>'قائمة الدخل'!K8</f>
        <v>532</v>
      </c>
      <c r="L8" s="30">
        <f>'قائمة الدخل'!L8</f>
        <v>532</v>
      </c>
      <c r="M8" s="31">
        <f>'قائمة الدخل'!M8</f>
        <v>532</v>
      </c>
      <c r="N8" s="38">
        <v>12000</v>
      </c>
      <c r="O8" s="30">
        <v>15000</v>
      </c>
      <c r="P8" s="30">
        <v>20000</v>
      </c>
      <c r="Q8" s="31">
        <v>20000</v>
      </c>
    </row>
    <row r="9" spans="1:17" x14ac:dyDescent="0.2">
      <c r="A9" s="29" t="s">
        <v>30</v>
      </c>
      <c r="B9" s="30">
        <f>'قائمة الدخل'!B10</f>
        <v>133</v>
      </c>
      <c r="C9" s="30">
        <f>'قائمة الدخل'!C10</f>
        <v>133</v>
      </c>
      <c r="D9" s="30">
        <f>'قائمة الدخل'!D10</f>
        <v>133</v>
      </c>
      <c r="E9" s="30">
        <f>'قائمة الدخل'!E10</f>
        <v>133</v>
      </c>
      <c r="F9" s="30">
        <f>'قائمة الدخل'!F10</f>
        <v>133</v>
      </c>
      <c r="G9" s="30">
        <f>'قائمة الدخل'!G10</f>
        <v>133</v>
      </c>
      <c r="H9" s="30">
        <f>'قائمة الدخل'!H10</f>
        <v>133</v>
      </c>
      <c r="I9" s="30">
        <f>'قائمة الدخل'!I10</f>
        <v>133</v>
      </c>
      <c r="J9" s="30">
        <f>'قائمة الدخل'!J10</f>
        <v>133</v>
      </c>
      <c r="K9" s="30">
        <f>'قائمة الدخل'!K10</f>
        <v>133</v>
      </c>
      <c r="L9" s="30">
        <f>'قائمة الدخل'!L10</f>
        <v>133</v>
      </c>
      <c r="M9" s="36">
        <f>'قائمة الدخل'!M10</f>
        <v>133</v>
      </c>
      <c r="N9" s="38">
        <f>'قائمة الدخل'!O10</f>
        <v>1675.8000000000002</v>
      </c>
      <c r="O9" s="30">
        <f>'قائمة الدخل'!P10</f>
        <v>1759.5900000000004</v>
      </c>
      <c r="P9" s="30">
        <f>'قائمة الدخل'!Q10</f>
        <v>1847.5695000000005</v>
      </c>
      <c r="Q9" s="31">
        <f>'قائمة الدخل'!R10</f>
        <v>1939.9479750000007</v>
      </c>
    </row>
    <row r="10" spans="1:17" x14ac:dyDescent="0.2">
      <c r="A10" s="29" t="s">
        <v>32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1">
        <f>'قائمة الدخل'!N13</f>
        <v>5143.25</v>
      </c>
      <c r="N10" s="38">
        <f>'قائمة الدخل'!O13</f>
        <v>18735.960000000003</v>
      </c>
      <c r="O10" s="30">
        <f>'قائمة الدخل'!P13</f>
        <v>22586.349600000001</v>
      </c>
      <c r="P10" s="30">
        <f>'قائمة الدخل'!Q13</f>
        <v>27990.860496000001</v>
      </c>
      <c r="Q10" s="31">
        <f>'قائمة الدخل'!R13</f>
        <v>35353.564224960006</v>
      </c>
    </row>
    <row r="11" spans="1:17" ht="15" x14ac:dyDescent="0.25">
      <c r="A11" s="78" t="s">
        <v>41</v>
      </c>
      <c r="B11" s="62">
        <v>23400</v>
      </c>
      <c r="C11" s="62">
        <f t="shared" ref="C11:M11" si="1">C13-C12</f>
        <v>0</v>
      </c>
      <c r="D11" s="62">
        <f t="shared" si="1"/>
        <v>0</v>
      </c>
      <c r="E11" s="62">
        <f t="shared" si="1"/>
        <v>0</v>
      </c>
      <c r="F11" s="62">
        <f t="shared" si="1"/>
        <v>0</v>
      </c>
      <c r="G11" s="62">
        <f t="shared" si="1"/>
        <v>0</v>
      </c>
      <c r="H11" s="62">
        <f t="shared" si="1"/>
        <v>0</v>
      </c>
      <c r="I11" s="62">
        <f t="shared" si="1"/>
        <v>0</v>
      </c>
      <c r="J11" s="62">
        <f t="shared" si="1"/>
        <v>0</v>
      </c>
      <c r="K11" s="62">
        <f t="shared" si="1"/>
        <v>0</v>
      </c>
      <c r="L11" s="62">
        <f t="shared" si="1"/>
        <v>0</v>
      </c>
      <c r="M11" s="63">
        <f t="shared" si="1"/>
        <v>0</v>
      </c>
      <c r="N11" s="64">
        <f t="shared" ref="N11" si="2">N13-N12</f>
        <v>0</v>
      </c>
      <c r="O11" s="62">
        <f t="shared" ref="O11" si="3">O13-O12</f>
        <v>0</v>
      </c>
      <c r="P11" s="62">
        <f t="shared" ref="P11" si="4">P13-P12</f>
        <v>0</v>
      </c>
      <c r="Q11" s="63"/>
    </row>
    <row r="12" spans="1:17" x14ac:dyDescent="0.2">
      <c r="A12" s="29" t="s">
        <v>50</v>
      </c>
      <c r="B12" s="30">
        <v>1600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2"/>
      <c r="N12" s="29"/>
      <c r="O12" s="41"/>
      <c r="P12" s="41"/>
      <c r="Q12" s="42"/>
    </row>
    <row r="13" spans="1:17" x14ac:dyDescent="0.2">
      <c r="A13" s="29" t="s">
        <v>45</v>
      </c>
      <c r="B13" s="67">
        <v>25000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2"/>
      <c r="N13" s="29"/>
      <c r="O13" s="41"/>
      <c r="P13" s="41"/>
      <c r="Q13" s="42"/>
    </row>
    <row r="14" spans="1:17" ht="15" x14ac:dyDescent="0.25">
      <c r="A14" s="78" t="s">
        <v>42</v>
      </c>
      <c r="B14" s="62">
        <f>B15-B16</f>
        <v>0</v>
      </c>
      <c r="C14" s="62">
        <f t="shared" ref="C14:M14" si="5">C15-C16</f>
        <v>0</v>
      </c>
      <c r="D14" s="62">
        <f t="shared" si="5"/>
        <v>0</v>
      </c>
      <c r="E14" s="62">
        <f t="shared" si="5"/>
        <v>0</v>
      </c>
      <c r="F14" s="62">
        <f t="shared" si="5"/>
        <v>0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ref="N14" si="6">N15-N16</f>
        <v>0</v>
      </c>
      <c r="O14" s="62">
        <f t="shared" ref="O14" si="7">O15-O16</f>
        <v>0</v>
      </c>
      <c r="P14" s="62">
        <f t="shared" ref="P14" si="8">P15-P16</f>
        <v>0</v>
      </c>
      <c r="Q14" s="63">
        <f t="shared" ref="Q14" si="9">Q15-Q16</f>
        <v>0</v>
      </c>
    </row>
    <row r="15" spans="1:17" x14ac:dyDescent="0.2">
      <c r="A15" s="29" t="s">
        <v>46</v>
      </c>
      <c r="B15" s="3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2"/>
      <c r="N15" s="29"/>
      <c r="O15" s="41"/>
      <c r="P15" s="41"/>
      <c r="Q15" s="42"/>
    </row>
    <row r="16" spans="1:17" ht="15" thickBot="1" x14ac:dyDescent="0.25">
      <c r="A16" s="58" t="s">
        <v>47</v>
      </c>
      <c r="B16" s="5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1"/>
      <c r="N16" s="58"/>
      <c r="O16" s="60"/>
      <c r="P16" s="60"/>
      <c r="Q16" s="61"/>
    </row>
    <row r="17" spans="1:17" ht="15" thickTop="1" x14ac:dyDescent="0.2">
      <c r="A17" s="49" t="s">
        <v>48</v>
      </c>
      <c r="B17" s="104">
        <f t="shared" ref="B17:Q17" si="10">B2+B11+B14</f>
        <v>21288</v>
      </c>
      <c r="C17" s="73">
        <f t="shared" si="10"/>
        <v>-1731</v>
      </c>
      <c r="D17" s="73">
        <f t="shared" si="10"/>
        <v>-1551</v>
      </c>
      <c r="E17" s="73">
        <f t="shared" si="10"/>
        <v>-1365</v>
      </c>
      <c r="F17" s="73">
        <f t="shared" si="10"/>
        <v>-1140</v>
      </c>
      <c r="G17" s="73">
        <f t="shared" si="10"/>
        <v>-882</v>
      </c>
      <c r="H17" s="73">
        <f t="shared" si="10"/>
        <v>-549</v>
      </c>
      <c r="I17" s="73">
        <f t="shared" si="10"/>
        <v>-582</v>
      </c>
      <c r="J17" s="73">
        <f t="shared" si="10"/>
        <v>-92</v>
      </c>
      <c r="K17" s="73">
        <f t="shared" si="10"/>
        <v>677</v>
      </c>
      <c r="L17" s="73">
        <f t="shared" si="10"/>
        <v>1599</v>
      </c>
      <c r="M17" s="74">
        <f t="shared" si="10"/>
        <v>-2793.25</v>
      </c>
      <c r="N17" s="54">
        <f t="shared" si="10"/>
        <v>41693.880000000005</v>
      </c>
      <c r="O17" s="55">
        <f t="shared" si="10"/>
        <v>57776.548800000004</v>
      </c>
      <c r="P17" s="55">
        <f t="shared" si="10"/>
        <v>76472.756488000014</v>
      </c>
      <c r="Q17" s="56">
        <f t="shared" si="10"/>
        <v>105992.27642488001</v>
      </c>
    </row>
    <row r="18" spans="1:17" ht="15" thickBot="1" x14ac:dyDescent="0.25">
      <c r="A18" s="32" t="s">
        <v>49</v>
      </c>
      <c r="B18" s="103">
        <f>B17</f>
        <v>21288</v>
      </c>
      <c r="C18" s="103">
        <f>B18+C17</f>
        <v>19557</v>
      </c>
      <c r="D18" s="103">
        <f>D17+C18</f>
        <v>18006</v>
      </c>
      <c r="E18" s="44">
        <f t="shared" ref="E18:Q18" si="11">E17+D18</f>
        <v>16641</v>
      </c>
      <c r="F18" s="44">
        <f t="shared" si="11"/>
        <v>15501</v>
      </c>
      <c r="G18" s="44">
        <f t="shared" si="11"/>
        <v>14619</v>
      </c>
      <c r="H18" s="44">
        <f t="shared" si="11"/>
        <v>14070</v>
      </c>
      <c r="I18" s="44">
        <f t="shared" si="11"/>
        <v>13488</v>
      </c>
      <c r="J18" s="44">
        <f t="shared" si="11"/>
        <v>13396</v>
      </c>
      <c r="K18" s="44">
        <f t="shared" si="11"/>
        <v>14073</v>
      </c>
      <c r="L18" s="44">
        <f t="shared" si="11"/>
        <v>15672</v>
      </c>
      <c r="M18" s="47">
        <f t="shared" si="11"/>
        <v>12878.75</v>
      </c>
      <c r="N18" s="47">
        <f t="shared" si="11"/>
        <v>54572.630000000005</v>
      </c>
      <c r="O18" s="47">
        <f t="shared" si="11"/>
        <v>112349.17880000001</v>
      </c>
      <c r="P18" s="47">
        <f t="shared" si="11"/>
        <v>188821.93528800004</v>
      </c>
      <c r="Q18" s="47">
        <f t="shared" si="11"/>
        <v>294814.21171288006</v>
      </c>
    </row>
    <row r="19" spans="1:17" ht="15" thickTop="1" x14ac:dyDescent="0.2"/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DF5A-885C-474C-A01B-B70FF8C3B5B9}">
  <dimension ref="A1:D74"/>
  <sheetViews>
    <sheetView rightToLeft="1" topLeftCell="A49" workbookViewId="0">
      <selection sqref="A1:D1"/>
    </sheetView>
  </sheetViews>
  <sheetFormatPr defaultRowHeight="14.25" x14ac:dyDescent="0.2"/>
  <cols>
    <col min="1" max="1" width="19" customWidth="1"/>
    <col min="2" max="2" width="11.375" style="79" bestFit="1" customWidth="1"/>
    <col min="3" max="3" width="19" customWidth="1"/>
    <col min="4" max="4" width="11.375" style="79" bestFit="1" customWidth="1"/>
  </cols>
  <sheetData>
    <row r="1" spans="1:4" ht="15" thickTop="1" x14ac:dyDescent="0.2">
      <c r="A1" s="114" t="s">
        <v>70</v>
      </c>
      <c r="B1" s="115"/>
      <c r="C1" s="115"/>
      <c r="D1" s="116"/>
    </row>
    <row r="2" spans="1:4" x14ac:dyDescent="0.2">
      <c r="A2" s="111" t="s">
        <v>56</v>
      </c>
      <c r="B2" s="112"/>
      <c r="C2" s="112" t="s">
        <v>57</v>
      </c>
      <c r="D2" s="113"/>
    </row>
    <row r="3" spans="1:4" x14ac:dyDescent="0.2">
      <c r="A3" s="29" t="s">
        <v>58</v>
      </c>
      <c r="B3" s="30">
        <f>'قائمة التدفق النقدي'!M18</f>
        <v>12878.75</v>
      </c>
      <c r="C3" s="41" t="s">
        <v>63</v>
      </c>
      <c r="D3" s="31">
        <f>'قائمة الدخل'!N3-SUM('قائمة التدفق النقدي'!B4:M4)</f>
        <v>0</v>
      </c>
    </row>
    <row r="4" spans="1:4" x14ac:dyDescent="0.2">
      <c r="A4" s="29" t="s">
        <v>60</v>
      </c>
      <c r="B4" s="30">
        <f>'قائمة الدخل'!N2-SUM('قائمة التدفق النقدي'!B3:M3)</f>
        <v>7710</v>
      </c>
      <c r="C4" s="41" t="s">
        <v>64</v>
      </c>
      <c r="D4" s="31">
        <f>'قائمة الدخل'!N5-SUM('قائمة التدفق النقدي'!B5:M5)</f>
        <v>0</v>
      </c>
    </row>
    <row r="5" spans="1:4" x14ac:dyDescent="0.2">
      <c r="A5" s="29" t="s">
        <v>61</v>
      </c>
      <c r="B5" s="30">
        <f>الإفتراضات!B13</f>
        <v>25000</v>
      </c>
      <c r="C5" s="41" t="s">
        <v>65</v>
      </c>
      <c r="D5" s="31">
        <f>'قائمة الدخل'!N6-SUM('قائمة التدفق النقدي'!B6:M6)</f>
        <v>0</v>
      </c>
    </row>
    <row r="6" spans="1:4" x14ac:dyDescent="0.2">
      <c r="A6" s="29" t="s">
        <v>62</v>
      </c>
      <c r="B6" s="30">
        <f>-SUM('قائمة الدخل'!B9:M9)</f>
        <v>0</v>
      </c>
      <c r="C6" s="41" t="s">
        <v>66</v>
      </c>
      <c r="D6" s="31">
        <f>'قائمة الدخل'!N7-SUM('قائمة التدفق النقدي'!B7:M7)</f>
        <v>0</v>
      </c>
    </row>
    <row r="7" spans="1:4" x14ac:dyDescent="0.2">
      <c r="A7" s="29" t="s">
        <v>59</v>
      </c>
      <c r="B7" s="30">
        <f>SUM('قائمة التدفق النقدي'!B4:M4)-SUM('قائمة الدخل'!B3:M3)</f>
        <v>0</v>
      </c>
      <c r="C7" s="41" t="s">
        <v>67</v>
      </c>
      <c r="D7" s="31">
        <f>'قائمة الدخل'!N8-SUM('قائمة التدفق النقدي'!B8:M8)</f>
        <v>0</v>
      </c>
    </row>
    <row r="8" spans="1:4" x14ac:dyDescent="0.2">
      <c r="A8" s="29"/>
      <c r="B8" s="30"/>
      <c r="C8" s="41" t="s">
        <v>30</v>
      </c>
      <c r="D8" s="31">
        <f>'قائمة الدخل'!N10-SUM('قائمة التدفق النقدي'!B9:M9)</f>
        <v>0</v>
      </c>
    </row>
    <row r="9" spans="1:4" x14ac:dyDescent="0.2">
      <c r="A9" s="29"/>
      <c r="B9" s="30"/>
      <c r="C9" s="41" t="s">
        <v>68</v>
      </c>
      <c r="D9" s="31">
        <f>'قائمة التدفق النقدي'!B13</f>
        <v>25000</v>
      </c>
    </row>
    <row r="10" spans="1:4" ht="15" thickBot="1" x14ac:dyDescent="0.25">
      <c r="A10" s="29"/>
      <c r="B10" s="30"/>
      <c r="C10" s="41" t="s">
        <v>69</v>
      </c>
      <c r="D10" s="31">
        <f>'قائمة الدخل'!N14</f>
        <v>15460.75</v>
      </c>
    </row>
    <row r="11" spans="1:4" ht="16.5" thickTop="1" thickBot="1" x14ac:dyDescent="0.3">
      <c r="A11" s="81" t="s">
        <v>71</v>
      </c>
      <c r="B11" s="82">
        <f>SUM(B3:B10)</f>
        <v>45588.75</v>
      </c>
      <c r="C11" s="83" t="s">
        <v>72</v>
      </c>
      <c r="D11" s="84">
        <f>SUM(D3:D10)</f>
        <v>40460.75</v>
      </c>
    </row>
    <row r="12" spans="1:4" ht="15" thickTop="1" x14ac:dyDescent="0.2">
      <c r="A12" t="s">
        <v>73</v>
      </c>
      <c r="B12" s="79">
        <f>B11-D11</f>
        <v>5128</v>
      </c>
    </row>
    <row r="13" spans="1:4" ht="15" thickBot="1" x14ac:dyDescent="0.25"/>
    <row r="14" spans="1:4" ht="15" thickTop="1" x14ac:dyDescent="0.2">
      <c r="A14" s="114" t="s">
        <v>74</v>
      </c>
      <c r="B14" s="115"/>
      <c r="C14" s="115"/>
      <c r="D14" s="116"/>
    </row>
    <row r="15" spans="1:4" x14ac:dyDescent="0.2">
      <c r="A15" s="111" t="s">
        <v>56</v>
      </c>
      <c r="B15" s="112"/>
      <c r="C15" s="112" t="s">
        <v>57</v>
      </c>
      <c r="D15" s="113"/>
    </row>
    <row r="16" spans="1:4" x14ac:dyDescent="0.2">
      <c r="A16" s="29" t="s">
        <v>58</v>
      </c>
      <c r="B16" s="30">
        <f>'قائمة التدفق النقدي'!N18</f>
        <v>54572.630000000005</v>
      </c>
      <c r="C16" s="41" t="s">
        <v>63</v>
      </c>
      <c r="D16" s="31">
        <f>D3+'قائمة الدخل'!O3-'قائمة التدفق النقدي'!N4</f>
        <v>0</v>
      </c>
    </row>
    <row r="17" spans="1:4" x14ac:dyDescent="0.2">
      <c r="A17" s="29" t="s">
        <v>60</v>
      </c>
      <c r="B17" s="30">
        <f>B4+'قائمة الدخل'!O2-'قائمة التدفق النقدي'!N3</f>
        <v>7710</v>
      </c>
      <c r="C17" s="41" t="s">
        <v>64</v>
      </c>
      <c r="D17" s="31">
        <f>D4+'قائمة الدخل'!O5-'قائمة التدفق النقدي'!N5</f>
        <v>0</v>
      </c>
    </row>
    <row r="18" spans="1:4" x14ac:dyDescent="0.2">
      <c r="A18" s="29" t="s">
        <v>61</v>
      </c>
      <c r="B18" s="30">
        <f>B5</f>
        <v>25000</v>
      </c>
      <c r="C18" s="41" t="s">
        <v>65</v>
      </c>
      <c r="D18" s="31">
        <f>D5+'قائمة الدخل'!O6-'قائمة التدفق النقدي'!N6</f>
        <v>0</v>
      </c>
    </row>
    <row r="19" spans="1:4" x14ac:dyDescent="0.2">
      <c r="A19" s="29" t="s">
        <v>62</v>
      </c>
      <c r="B19" s="30">
        <f>B6-'قائمة الدخل'!O9</f>
        <v>0</v>
      </c>
      <c r="C19" s="41" t="s">
        <v>66</v>
      </c>
      <c r="D19" s="31">
        <f>D6+'قائمة الدخل'!O7-'قائمة التدفق النقدي'!N7</f>
        <v>0</v>
      </c>
    </row>
    <row r="20" spans="1:4" x14ac:dyDescent="0.2">
      <c r="A20" s="29" t="s">
        <v>59</v>
      </c>
      <c r="B20" s="30">
        <f>B7+'قائمة التدفق النقدي'!N4-'قائمة الدخل'!O3</f>
        <v>0</v>
      </c>
      <c r="C20" s="41" t="s">
        <v>67</v>
      </c>
      <c r="D20" s="31">
        <f>D7+'قائمة الدخل'!O8-'قائمة التدفق النقدي'!N8</f>
        <v>-5296.7999999999993</v>
      </c>
    </row>
    <row r="21" spans="1:4" x14ac:dyDescent="0.2">
      <c r="A21" s="29"/>
      <c r="B21" s="30"/>
      <c r="C21" s="41" t="s">
        <v>30</v>
      </c>
      <c r="D21" s="31">
        <f>D8+'قائمة الدخل'!O10-'قائمة التدفق النقدي'!N9</f>
        <v>0</v>
      </c>
    </row>
    <row r="22" spans="1:4" x14ac:dyDescent="0.2">
      <c r="A22" s="29"/>
      <c r="B22" s="30"/>
      <c r="C22" s="41" t="s">
        <v>68</v>
      </c>
      <c r="D22" s="31">
        <f>D9</f>
        <v>25000</v>
      </c>
    </row>
    <row r="23" spans="1:4" x14ac:dyDescent="0.2">
      <c r="A23" s="29"/>
      <c r="B23" s="30"/>
      <c r="C23" s="41" t="s">
        <v>69</v>
      </c>
      <c r="D23" s="31">
        <f>D10</f>
        <v>15460.75</v>
      </c>
    </row>
    <row r="24" spans="1:4" ht="15" thickBot="1" x14ac:dyDescent="0.25">
      <c r="A24" s="58"/>
      <c r="B24" s="59"/>
      <c r="C24" s="60" t="s">
        <v>75</v>
      </c>
      <c r="D24" s="80">
        <f>'قائمة الدخل'!O14</f>
        <v>56207.880000000005</v>
      </c>
    </row>
    <row r="25" spans="1:4" ht="16.5" thickTop="1" thickBot="1" x14ac:dyDescent="0.3">
      <c r="A25" s="81" t="s">
        <v>71</v>
      </c>
      <c r="B25" s="82">
        <f>SUM(B16:B24)</f>
        <v>87282.63</v>
      </c>
      <c r="C25" s="83" t="s">
        <v>72</v>
      </c>
      <c r="D25" s="84">
        <f>SUM(D16:D24)</f>
        <v>91371.83</v>
      </c>
    </row>
    <row r="26" spans="1:4" ht="15" thickTop="1" x14ac:dyDescent="0.2">
      <c r="A26" t="s">
        <v>73</v>
      </c>
      <c r="B26" s="79">
        <f>B25-D25</f>
        <v>-4089.1999999999971</v>
      </c>
    </row>
    <row r="27" spans="1:4" ht="15" thickBot="1" x14ac:dyDescent="0.25"/>
    <row r="28" spans="1:4" ht="15" thickTop="1" x14ac:dyDescent="0.2">
      <c r="A28" s="114" t="s">
        <v>76</v>
      </c>
      <c r="B28" s="115"/>
      <c r="C28" s="115"/>
      <c r="D28" s="116"/>
    </row>
    <row r="29" spans="1:4" x14ac:dyDescent="0.2">
      <c r="A29" s="111" t="s">
        <v>56</v>
      </c>
      <c r="B29" s="112"/>
      <c r="C29" s="112" t="s">
        <v>57</v>
      </c>
      <c r="D29" s="113"/>
    </row>
    <row r="30" spans="1:4" x14ac:dyDescent="0.2">
      <c r="A30" s="29" t="s">
        <v>58</v>
      </c>
      <c r="B30" s="30">
        <f>'قائمة التدفق النقدي'!O18</f>
        <v>112349.17880000001</v>
      </c>
      <c r="C30" s="41" t="s">
        <v>63</v>
      </c>
      <c r="D30" s="31">
        <f>D16+'قائمة الدخل'!P3-'قائمة التدفق النقدي'!O4</f>
        <v>0</v>
      </c>
    </row>
    <row r="31" spans="1:4" x14ac:dyDescent="0.2">
      <c r="A31" s="29" t="s">
        <v>60</v>
      </c>
      <c r="B31" s="30">
        <f>B17+'قائمة الدخل'!P2-'قائمة التدفق النقدي'!O3</f>
        <v>7710</v>
      </c>
      <c r="C31" s="41" t="s">
        <v>64</v>
      </c>
      <c r="D31" s="31">
        <f>D17+'قائمة الدخل'!P5-'قائمة التدفق النقدي'!O5</f>
        <v>0</v>
      </c>
    </row>
    <row r="32" spans="1:4" x14ac:dyDescent="0.2">
      <c r="A32" s="29" t="s">
        <v>61</v>
      </c>
      <c r="B32" s="30">
        <f>الإفتراضات!B13</f>
        <v>25000</v>
      </c>
      <c r="C32" s="41" t="s">
        <v>65</v>
      </c>
      <c r="D32" s="31">
        <f>D18+'قائمة الدخل'!P6-'قائمة التدفق النقدي'!O6</f>
        <v>0</v>
      </c>
    </row>
    <row r="33" spans="1:4" x14ac:dyDescent="0.2">
      <c r="A33" s="29" t="s">
        <v>62</v>
      </c>
      <c r="B33" s="30">
        <f>B19-'قائمة الدخل'!P9</f>
        <v>0</v>
      </c>
      <c r="C33" s="41" t="s">
        <v>66</v>
      </c>
      <c r="D33" s="31">
        <f>D19+'قائمة الدخل'!P7-'قائمة التدفق النقدي'!O7</f>
        <v>0</v>
      </c>
    </row>
    <row r="34" spans="1:4" x14ac:dyDescent="0.2">
      <c r="A34" s="29" t="s">
        <v>59</v>
      </c>
      <c r="B34" s="30">
        <f>B20+'قائمة التدفق النقدي'!O4-'قائمة الدخل'!P3</f>
        <v>0</v>
      </c>
      <c r="C34" s="41" t="s">
        <v>67</v>
      </c>
      <c r="D34" s="31">
        <f>D20+'قائمة الدخل'!P8-'قائمة التدفق النقدي'!O8</f>
        <v>-13258.439999999999</v>
      </c>
    </row>
    <row r="35" spans="1:4" x14ac:dyDescent="0.2">
      <c r="A35" s="29"/>
      <c r="B35" s="30"/>
      <c r="C35" s="41" t="s">
        <v>30</v>
      </c>
      <c r="D35" s="31">
        <f>D21+'قائمة الدخل'!P10-'قائمة التدفق النقدي'!O9</f>
        <v>0</v>
      </c>
    </row>
    <row r="36" spans="1:4" x14ac:dyDescent="0.2">
      <c r="A36" s="29"/>
      <c r="B36" s="30"/>
      <c r="C36" s="41" t="s">
        <v>68</v>
      </c>
      <c r="D36" s="31">
        <f>D22</f>
        <v>25000</v>
      </c>
    </row>
    <row r="37" spans="1:4" x14ac:dyDescent="0.2">
      <c r="A37" s="29"/>
      <c r="B37" s="30"/>
      <c r="C37" s="41" t="s">
        <v>69</v>
      </c>
      <c r="D37" s="31">
        <f>D23</f>
        <v>15460.75</v>
      </c>
    </row>
    <row r="38" spans="1:4" x14ac:dyDescent="0.2">
      <c r="A38" s="29"/>
      <c r="B38" s="30"/>
      <c r="C38" s="41" t="s">
        <v>75</v>
      </c>
      <c r="D38" s="31">
        <f>D24</f>
        <v>56207.880000000005</v>
      </c>
    </row>
    <row r="39" spans="1:4" ht="15" thickBot="1" x14ac:dyDescent="0.25">
      <c r="A39" s="32"/>
      <c r="B39" s="33"/>
      <c r="C39" s="45" t="s">
        <v>77</v>
      </c>
      <c r="D39" s="34">
        <f>'قائمة الدخل'!P14</f>
        <v>67759.048800000004</v>
      </c>
    </row>
    <row r="40" spans="1:4" ht="16.5" thickTop="1" thickBot="1" x14ac:dyDescent="0.3">
      <c r="A40" s="81" t="s">
        <v>71</v>
      </c>
      <c r="B40" s="82">
        <f>SUM(B30:B38)</f>
        <v>145059.17879999999</v>
      </c>
      <c r="C40" s="83" t="s">
        <v>72</v>
      </c>
      <c r="D40" s="84">
        <f>SUM(D30:D39)</f>
        <v>151169.23879999999</v>
      </c>
    </row>
    <row r="41" spans="1:4" ht="15" thickTop="1" x14ac:dyDescent="0.2">
      <c r="A41" t="s">
        <v>73</v>
      </c>
      <c r="B41" s="79">
        <f>B40-D40</f>
        <v>-6110.0599999999977</v>
      </c>
    </row>
    <row r="42" spans="1:4" ht="15" thickBot="1" x14ac:dyDescent="0.25"/>
    <row r="43" spans="1:4" ht="15" thickTop="1" x14ac:dyDescent="0.2">
      <c r="A43" s="114" t="s">
        <v>78</v>
      </c>
      <c r="B43" s="115"/>
      <c r="C43" s="115"/>
      <c r="D43" s="116"/>
    </row>
    <row r="44" spans="1:4" x14ac:dyDescent="0.2">
      <c r="A44" s="111" t="s">
        <v>56</v>
      </c>
      <c r="B44" s="112"/>
      <c r="C44" s="112" t="s">
        <v>57</v>
      </c>
      <c r="D44" s="113"/>
    </row>
    <row r="45" spans="1:4" x14ac:dyDescent="0.2">
      <c r="A45" s="29" t="s">
        <v>58</v>
      </c>
      <c r="B45" s="30">
        <f>'قائمة التدفق النقدي'!P18</f>
        <v>188821.93528800004</v>
      </c>
      <c r="C45" s="41" t="s">
        <v>63</v>
      </c>
      <c r="D45" s="31">
        <f>D30+'قائمة الدخل'!Q3-'قائمة التدفق النقدي'!P4</f>
        <v>0</v>
      </c>
    </row>
    <row r="46" spans="1:4" x14ac:dyDescent="0.2">
      <c r="A46" s="29" t="s">
        <v>60</v>
      </c>
      <c r="B46" s="30">
        <f>B31+'قائمة الدخل'!Q2-'قائمة التدفق النقدي'!P3</f>
        <v>7710</v>
      </c>
      <c r="C46" s="41" t="s">
        <v>64</v>
      </c>
      <c r="D46" s="31">
        <f>D31+'قائمة الدخل'!Q5-'قائمة التدفق النقدي'!P5</f>
        <v>0</v>
      </c>
    </row>
    <row r="47" spans="1:4" x14ac:dyDescent="0.2">
      <c r="A47" s="29" t="s">
        <v>61</v>
      </c>
      <c r="B47" s="30">
        <f>الإفتراضات!B13</f>
        <v>25000</v>
      </c>
      <c r="C47" s="41" t="s">
        <v>65</v>
      </c>
      <c r="D47" s="31">
        <f>D32+'قائمة الدخل'!Q6-'قائمة التدفق النقدي'!P6</f>
        <v>0</v>
      </c>
    </row>
    <row r="48" spans="1:4" x14ac:dyDescent="0.2">
      <c r="A48" s="29" t="s">
        <v>62</v>
      </c>
      <c r="B48" s="30">
        <f>B33-'قائمة الدخل'!Q9</f>
        <v>0</v>
      </c>
      <c r="C48" s="41" t="s">
        <v>66</v>
      </c>
      <c r="D48" s="31">
        <f>D33+'قائمة الدخل'!Q7-'قائمة التدفق النقدي'!P7</f>
        <v>0</v>
      </c>
    </row>
    <row r="49" spans="1:4" x14ac:dyDescent="0.2">
      <c r="A49" s="29" t="s">
        <v>59</v>
      </c>
      <c r="B49" s="30"/>
      <c r="C49" s="41" t="s">
        <v>67</v>
      </c>
      <c r="D49" s="31">
        <f>D34+'قائمة الدخل'!Q8-'قائمة التدفق النقدي'!P8</f>
        <v>-25868.161999999997</v>
      </c>
    </row>
    <row r="50" spans="1:4" x14ac:dyDescent="0.2">
      <c r="A50" s="29"/>
      <c r="B50" s="30"/>
      <c r="C50" s="41" t="s">
        <v>30</v>
      </c>
      <c r="D50" s="31">
        <f>D35+'قائمة الدخل'!Q10-'قائمة التدفق النقدي'!P9</f>
        <v>0</v>
      </c>
    </row>
    <row r="51" spans="1:4" x14ac:dyDescent="0.2">
      <c r="A51" s="29"/>
      <c r="B51" s="30"/>
      <c r="C51" s="41" t="s">
        <v>68</v>
      </c>
      <c r="D51" s="31">
        <f>D36</f>
        <v>25000</v>
      </c>
    </row>
    <row r="52" spans="1:4" x14ac:dyDescent="0.2">
      <c r="A52" s="29"/>
      <c r="B52" s="30"/>
      <c r="C52" s="41" t="s">
        <v>69</v>
      </c>
      <c r="D52" s="31">
        <f>D37</f>
        <v>15460.75</v>
      </c>
    </row>
    <row r="53" spans="1:4" x14ac:dyDescent="0.2">
      <c r="A53" s="29"/>
      <c r="B53" s="30"/>
      <c r="C53" s="41" t="s">
        <v>75</v>
      </c>
      <c r="D53" s="31">
        <f>D38</f>
        <v>56207.880000000005</v>
      </c>
    </row>
    <row r="54" spans="1:4" x14ac:dyDescent="0.2">
      <c r="A54" s="58"/>
      <c r="B54" s="59"/>
      <c r="C54" s="60" t="s">
        <v>77</v>
      </c>
      <c r="D54" s="80">
        <f>D39</f>
        <v>67759.048800000004</v>
      </c>
    </row>
    <row r="55" spans="1:4" ht="15" thickBot="1" x14ac:dyDescent="0.25">
      <c r="A55" s="32"/>
      <c r="B55" s="33"/>
      <c r="C55" s="45" t="s">
        <v>79</v>
      </c>
      <c r="D55" s="34">
        <f>'قائمة الدخل'!Q14</f>
        <v>83972.581487999996</v>
      </c>
    </row>
    <row r="56" spans="1:4" ht="16.5" thickTop="1" thickBot="1" x14ac:dyDescent="0.3">
      <c r="A56" s="81" t="s">
        <v>71</v>
      </c>
      <c r="B56" s="82">
        <f>SUM(B45:B55)</f>
        <v>221531.93528800004</v>
      </c>
      <c r="C56" s="83" t="s">
        <v>72</v>
      </c>
      <c r="D56" s="84">
        <f>SUM(D45:D55)</f>
        <v>222532.09828800001</v>
      </c>
    </row>
    <row r="57" spans="1:4" ht="15" thickTop="1" x14ac:dyDescent="0.2">
      <c r="A57" t="s">
        <v>73</v>
      </c>
      <c r="B57" s="79">
        <f>B56-D56</f>
        <v>-1000.1629999999714</v>
      </c>
    </row>
    <row r="58" spans="1:4" ht="15" thickBot="1" x14ac:dyDescent="0.25"/>
    <row r="59" spans="1:4" ht="15" thickTop="1" x14ac:dyDescent="0.2">
      <c r="A59" s="114" t="s">
        <v>80</v>
      </c>
      <c r="B59" s="115"/>
      <c r="C59" s="115"/>
      <c r="D59" s="116"/>
    </row>
    <row r="60" spans="1:4" x14ac:dyDescent="0.2">
      <c r="A60" s="111" t="s">
        <v>56</v>
      </c>
      <c r="B60" s="112"/>
      <c r="C60" s="112" t="s">
        <v>57</v>
      </c>
      <c r="D60" s="113"/>
    </row>
    <row r="61" spans="1:4" x14ac:dyDescent="0.2">
      <c r="A61" s="29" t="s">
        <v>58</v>
      </c>
      <c r="B61" s="30">
        <f>'قائمة التدفق النقدي'!Q18</f>
        <v>294814.21171288006</v>
      </c>
      <c r="C61" s="41" t="s">
        <v>63</v>
      </c>
      <c r="D61" s="31">
        <f>D45+'قائمة الدخل'!R3-'قائمة التدفق النقدي'!Q4</f>
        <v>0</v>
      </c>
    </row>
    <row r="62" spans="1:4" x14ac:dyDescent="0.2">
      <c r="A62" s="29" t="s">
        <v>60</v>
      </c>
      <c r="B62" s="30">
        <f>B46+'قائمة الدخل'!R2-'قائمة التدفق النقدي'!Q3</f>
        <v>7710</v>
      </c>
      <c r="C62" s="41" t="s">
        <v>64</v>
      </c>
      <c r="D62" s="31">
        <f>D46+'قائمة الدخل'!R5-'قائمة التدفق النقدي'!Q5</f>
        <v>0</v>
      </c>
    </row>
    <row r="63" spans="1:4" x14ac:dyDescent="0.2">
      <c r="A63" s="29" t="s">
        <v>61</v>
      </c>
      <c r="B63" s="30">
        <f>الإفتراضات!B13</f>
        <v>25000</v>
      </c>
      <c r="C63" s="41" t="s">
        <v>65</v>
      </c>
      <c r="D63" s="31">
        <f>D47+'قائمة الدخل'!R6-'قائمة التدفق النقدي'!Q6</f>
        <v>0</v>
      </c>
    </row>
    <row r="64" spans="1:4" x14ac:dyDescent="0.2">
      <c r="A64" s="29" t="s">
        <v>62</v>
      </c>
      <c r="B64" s="30">
        <f>B48-'قائمة الدخل'!R9</f>
        <v>-400</v>
      </c>
      <c r="C64" s="41" t="s">
        <v>66</v>
      </c>
      <c r="D64" s="31">
        <f>D48+'قائمة الدخل'!R7-'قائمة التدفق النقدي'!Q7</f>
        <v>0</v>
      </c>
    </row>
    <row r="65" spans="1:4" x14ac:dyDescent="0.2">
      <c r="A65" s="29" t="s">
        <v>59</v>
      </c>
      <c r="B65" s="30">
        <f>B49+'قائمة التدفق النقدي'!Q4-'قائمة الدخل'!R3</f>
        <v>0</v>
      </c>
      <c r="C65" s="41" t="s">
        <v>67</v>
      </c>
      <c r="D65" s="31">
        <f>D49+'قائمة الدخل'!R8-'قائمة التدفق النقدي'!Q8</f>
        <v>-38108.370099999993</v>
      </c>
    </row>
    <row r="66" spans="1:4" x14ac:dyDescent="0.2">
      <c r="A66" s="29"/>
      <c r="B66" s="30"/>
      <c r="C66" s="41" t="s">
        <v>30</v>
      </c>
      <c r="D66" s="31">
        <f>D50+'قائمة الدخل'!R10-'قائمة التدفق النقدي'!Q9</f>
        <v>0</v>
      </c>
    </row>
    <row r="67" spans="1:4" x14ac:dyDescent="0.2">
      <c r="A67" s="29"/>
      <c r="B67" s="30"/>
      <c r="C67" s="41" t="s">
        <v>68</v>
      </c>
      <c r="D67" s="31">
        <f>D51</f>
        <v>25000</v>
      </c>
    </row>
    <row r="68" spans="1:4" x14ac:dyDescent="0.2">
      <c r="A68" s="29"/>
      <c r="B68" s="30"/>
      <c r="C68" s="41" t="s">
        <v>69</v>
      </c>
      <c r="D68" s="31">
        <f>D52</f>
        <v>15460.75</v>
      </c>
    </row>
    <row r="69" spans="1:4" x14ac:dyDescent="0.2">
      <c r="A69" s="29"/>
      <c r="B69" s="30"/>
      <c r="C69" s="41" t="s">
        <v>75</v>
      </c>
      <c r="D69" s="31">
        <f>D53</f>
        <v>56207.880000000005</v>
      </c>
    </row>
    <row r="70" spans="1:4" x14ac:dyDescent="0.2">
      <c r="A70" s="58"/>
      <c r="B70" s="59"/>
      <c r="C70" s="60" t="s">
        <v>77</v>
      </c>
      <c r="D70" s="31">
        <f>D54</f>
        <v>67759.048800000004</v>
      </c>
    </row>
    <row r="71" spans="1:4" ht="15" thickBot="1" x14ac:dyDescent="0.25">
      <c r="A71" s="32"/>
      <c r="B71" s="33"/>
      <c r="C71" s="45" t="s">
        <v>79</v>
      </c>
      <c r="D71" s="31">
        <f>D55</f>
        <v>83972.581487999996</v>
      </c>
    </row>
    <row r="72" spans="1:4" ht="15.75" thickTop="1" thickBot="1" x14ac:dyDescent="0.25">
      <c r="A72" s="86"/>
      <c r="B72" s="87"/>
      <c r="C72" s="45" t="s">
        <v>81</v>
      </c>
      <c r="D72" s="85">
        <f>'قائمة الدخل'!R14</f>
        <v>106060.69267488002</v>
      </c>
    </row>
    <row r="73" spans="1:4" ht="16.5" thickTop="1" thickBot="1" x14ac:dyDescent="0.3">
      <c r="A73" s="81" t="s">
        <v>71</v>
      </c>
      <c r="B73" s="82">
        <f>SUM(B61:B71)</f>
        <v>327124.21171288006</v>
      </c>
      <c r="C73" s="83" t="s">
        <v>72</v>
      </c>
      <c r="D73" s="84">
        <f>SUM(D61:D72)</f>
        <v>316352.58286288002</v>
      </c>
    </row>
    <row r="74" spans="1:4" ht="15" thickTop="1" x14ac:dyDescent="0.2">
      <c r="A74" t="s">
        <v>73</v>
      </c>
      <c r="B74" s="79">
        <f>B73-D73</f>
        <v>10771.628850000037</v>
      </c>
    </row>
  </sheetData>
  <mergeCells count="15">
    <mergeCell ref="A59:D59"/>
    <mergeCell ref="A60:B60"/>
    <mergeCell ref="C60:D60"/>
    <mergeCell ref="A28:D28"/>
    <mergeCell ref="A29:B29"/>
    <mergeCell ref="C29:D29"/>
    <mergeCell ref="A43:D43"/>
    <mergeCell ref="A44:B44"/>
    <mergeCell ref="C44:D44"/>
    <mergeCell ref="A2:B2"/>
    <mergeCell ref="C2:D2"/>
    <mergeCell ref="A1:D1"/>
    <mergeCell ref="A14:D14"/>
    <mergeCell ref="A15:B15"/>
    <mergeCell ref="C15:D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C307C-B481-4233-948B-F447DA2DE910}">
  <dimension ref="A1:F7"/>
  <sheetViews>
    <sheetView rightToLeft="1" tabSelected="1" workbookViewId="0">
      <selection activeCell="C6" sqref="C6"/>
    </sheetView>
  </sheetViews>
  <sheetFormatPr defaultColWidth="8.875" defaultRowHeight="14.25" x14ac:dyDescent="0.2"/>
  <cols>
    <col min="1" max="1" width="28.25" style="1" bestFit="1" customWidth="1"/>
    <col min="2" max="2" width="10.5" style="1" bestFit="1" customWidth="1"/>
    <col min="3" max="3" width="10.375" style="1" bestFit="1" customWidth="1"/>
    <col min="4" max="6" width="11.375" style="1" bestFit="1" customWidth="1"/>
    <col min="7" max="16384" width="8.875" style="1"/>
  </cols>
  <sheetData>
    <row r="1" spans="1:6" ht="15" thickTop="1" x14ac:dyDescent="0.2">
      <c r="A1" s="7" t="s">
        <v>82</v>
      </c>
      <c r="B1" s="8">
        <v>1</v>
      </c>
      <c r="C1" s="8">
        <v>2</v>
      </c>
      <c r="D1" s="8">
        <v>3</v>
      </c>
      <c r="E1" s="8">
        <v>4</v>
      </c>
      <c r="F1" s="40">
        <v>5</v>
      </c>
    </row>
    <row r="2" spans="1:6" x14ac:dyDescent="0.2">
      <c r="A2" s="11" t="s">
        <v>83</v>
      </c>
      <c r="B2" s="88">
        <f>'قائمة الدخل'!N18</f>
        <v>0.39902004810719854</v>
      </c>
      <c r="C2" s="88">
        <f>'قائمة الدخل'!O18</f>
        <v>0.33483322353296419</v>
      </c>
      <c r="D2" s="88">
        <f>'قائمة الدخل'!P18</f>
        <v>0.26696040239765667</v>
      </c>
      <c r="E2" s="88">
        <f>'قائمة الدخل'!Q18</f>
        <v>0.2188090400635799</v>
      </c>
      <c r="F2" s="89">
        <f>'قائمة الدخل'!R18</f>
        <v>0.18278073708214002</v>
      </c>
    </row>
    <row r="3" spans="1:6" x14ac:dyDescent="0.2">
      <c r="A3" s="11" t="s">
        <v>84</v>
      </c>
      <c r="B3" s="88">
        <f>'قائمة الدخل'!N19</f>
        <v>0.51535833333333336</v>
      </c>
      <c r="C3" s="88">
        <f>'قائمة الدخل'!O19</f>
        <v>1.5613300000000003</v>
      </c>
      <c r="D3" s="88">
        <f>'قائمة الدخل'!P19</f>
        <v>1.5684965000000002</v>
      </c>
      <c r="E3" s="88">
        <f>'قائمة الدخل'!Q19</f>
        <v>1.6198414638888887</v>
      </c>
      <c r="F3" s="89">
        <f>'قائمة الدخل'!R19</f>
        <v>1.704936546342593</v>
      </c>
    </row>
    <row r="4" spans="1:6" x14ac:dyDescent="0.2">
      <c r="A4" s="11" t="s">
        <v>85</v>
      </c>
      <c r="B4" s="18">
        <v>2</v>
      </c>
      <c r="C4" s="18" t="s">
        <v>101</v>
      </c>
      <c r="D4" s="18"/>
      <c r="E4" s="18"/>
      <c r="F4" s="17"/>
    </row>
    <row r="5" spans="1:6" x14ac:dyDescent="0.2">
      <c r="A5" s="11" t="s">
        <v>86</v>
      </c>
      <c r="B5" s="15">
        <v>25000</v>
      </c>
      <c r="C5" s="18" t="str">
        <f>الإفتراضات!B2</f>
        <v>دولار امريكي</v>
      </c>
      <c r="D5" s="18"/>
      <c r="E5" s="18"/>
      <c r="F5" s="17"/>
    </row>
    <row r="6" spans="1:6" ht="15" thickBot="1" x14ac:dyDescent="0.25">
      <c r="A6" s="19" t="s">
        <v>90</v>
      </c>
      <c r="B6" s="21">
        <f>'قائمة الدخل'!N20</f>
        <v>20113.838922243376</v>
      </c>
      <c r="C6" s="21">
        <f>'قائمة الدخل'!O20</f>
        <v>21570.75961854653</v>
      </c>
      <c r="D6" s="21">
        <f>'قائمة الدخل'!P20</f>
        <v>32356.139427819799</v>
      </c>
      <c r="E6" s="21">
        <f>'قائمة الدخل'!Q20</f>
        <v>43141.51923709306</v>
      </c>
      <c r="F6" s="91">
        <f>'قائمة الدخل'!R20</f>
        <v>53926.899046366321</v>
      </c>
    </row>
    <row r="7" spans="1:6" ht="1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الإفتراضات</vt:lpstr>
      <vt:lpstr>الإيرادات و التكاليف المباشرة</vt:lpstr>
      <vt:lpstr>قائمة الدخل</vt:lpstr>
      <vt:lpstr>قائمة التدفق النقدي</vt:lpstr>
      <vt:lpstr>الميزانية الختامية</vt:lpstr>
      <vt:lpstr>الملخص المالي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Ghazi AL Mahayni</dc:creator>
  <cp:lastModifiedBy>Medyan</cp:lastModifiedBy>
  <dcterms:created xsi:type="dcterms:W3CDTF">2022-10-24T14:10:21Z</dcterms:created>
  <dcterms:modified xsi:type="dcterms:W3CDTF">2023-08-15T10:39:10Z</dcterms:modified>
</cp:coreProperties>
</file>